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.xml" ContentType="application/vnd.openxmlformats-officedocument.drawing+xml"/>
  <Override PartName="/xl/worksheets/sheet18.xml" ContentType="application/vnd.openxmlformats-officedocument.spreadsheetml.worksheet+xml"/>
  <Override PartName="/xl/drawings/drawing2.xml" ContentType="application/vnd.openxmlformats-officedocument.drawing+xml"/>
  <Override PartName="/xl/worksheets/sheet19.xml" ContentType="application/vnd.openxmlformats-officedocument.spreadsheetml.worksheet+xml"/>
  <Override PartName="/xl/drawings/drawing3.xml" ContentType="application/vnd.openxmlformats-officedocument.drawing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worksheets/sheet21.xml" ContentType="application/vnd.openxmlformats-officedocument.spreadsheetml.worksheet+xml"/>
  <Override PartName="/xl/drawings/drawing5.xml" ContentType="application/vnd.openxmlformats-officedocument.drawing+xml"/>
  <Override PartName="/xl/worksheets/sheet22.xml" ContentType="application/vnd.openxmlformats-officedocument.spreadsheetml.worksheet+xml"/>
  <Override PartName="/xl/drawings/drawing6.xml" ContentType="application/vnd.openxmlformats-officedocument.drawing+xml"/>
  <Override PartName="/xl/worksheets/sheet23.xml" ContentType="application/vnd.openxmlformats-officedocument.spreadsheetml.worksheet+xml"/>
  <Override PartName="/xl/drawings/drawing7.xml" ContentType="application/vnd.openxmlformats-officedocument.drawing+xml"/>
  <Override PartName="/xl/worksheets/sheet24.xml" ContentType="application/vnd.openxmlformats-officedocument.spreadsheetml.worksheet+xml"/>
  <Override PartName="/xl/drawings/drawing8.xml" ContentType="application/vnd.openxmlformats-officedocument.drawing+xml"/>
  <Override PartName="/xl/worksheets/sheet25.xml" ContentType="application/vnd.openxmlformats-officedocument.spreadsheetml.worksheet+xml"/>
  <Override PartName="/xl/drawings/drawing9.xml" ContentType="application/vnd.openxmlformats-officedocument.drawing+xml"/>
  <Override PartName="/xl/worksheets/sheet26.xml" ContentType="application/vnd.openxmlformats-officedocument.spreadsheetml.worksheet+xml"/>
  <Override PartName="/xl/drawings/drawing10.xml" ContentType="application/vnd.openxmlformats-officedocument.drawing+xml"/>
  <Override PartName="/xl/worksheets/sheet27.xml" ContentType="application/vnd.openxmlformats-officedocument.spreadsheetml.worksheet+xml"/>
  <Override PartName="/xl/drawings/drawing11.xml" ContentType="application/vnd.openxmlformats-officedocument.drawing+xml"/>
  <Override PartName="/xl/worksheets/sheet28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9515" windowHeight="9060" firstSheet="1" activeTab="1"/>
  </bookViews>
  <sheets>
    <sheet name="Dang Ky lam GTNT" sheetId="1" state="hidden" r:id="rId1"/>
    <sheet name="05.9.2013" sheetId="2" r:id="rId2"/>
    <sheet name="29.8.2013 (2)" sheetId="3" state="hidden" r:id="rId3"/>
    <sheet name="29.8.2013" sheetId="4" r:id="rId4"/>
    <sheet name="22.8.2013" sheetId="5" r:id="rId5"/>
    <sheet name="15.8.2013" sheetId="6" r:id="rId6"/>
    <sheet name="08.8.13" sheetId="7" state="hidden" r:id="rId7"/>
    <sheet name="01.8.2013" sheetId="8" state="hidden" r:id="rId8"/>
    <sheet name="31.07" sheetId="9" state="hidden" r:id="rId9"/>
    <sheet name="25.7.2013" sheetId="10" state="hidden" r:id="rId10"/>
    <sheet name="18.7.2013" sheetId="11" state="hidden" r:id="rId11"/>
    <sheet name="11.7.2013" sheetId="12" state="hidden" r:id="rId12"/>
    <sheet name="04.7.2013" sheetId="13" state="hidden" r:id="rId13"/>
    <sheet name="5 thang" sheetId="14" state="hidden" r:id="rId14"/>
    <sheet name="xx" sheetId="15" state="hidden" r:id="rId15"/>
    <sheet name="22.6.2013" sheetId="16" state="hidden" r:id="rId16"/>
    <sheet name="LH" sheetId="17" state="hidden" r:id="rId17"/>
    <sheet name="HS" sheetId="18" state="hidden" r:id="rId18"/>
    <sheet name="VQ" sheetId="19" state="hidden" r:id="rId19"/>
    <sheet name="DT" sheetId="20" state="hidden" r:id="rId20"/>
    <sheet name="HK" sheetId="21" state="hidden" r:id="rId21"/>
    <sheet name="CL" sheetId="22" state="hidden" r:id="rId22"/>
    <sheet name="CX" sheetId="23" state="hidden" r:id="rId23"/>
    <sheet name="TH" sheetId="24" state="hidden" r:id="rId24"/>
    <sheet name="NX" sheetId="25" state="hidden" r:id="rId25"/>
    <sheet name="KA" sheetId="26" state="hidden" r:id="rId26"/>
    <sheet name="TXHL" sheetId="27" state="hidden" r:id="rId27"/>
    <sheet name="TPHT" sheetId="28" state="hidden" r:id="rId28"/>
  </sheets>
  <definedNames>
    <definedName name="_xlnm.Print_Area" localSheetId="7">'01.8.2013'!$A$1:$AG$21</definedName>
    <definedName name="_xlnm.Print_Area" localSheetId="12">'04.7.2013'!$A$1:$Z$25</definedName>
    <definedName name="_xlnm.Print_Area" localSheetId="1">'05.9.2013'!$A$1:$T$21</definedName>
    <definedName name="_xlnm.Print_Area" localSheetId="6">'08.8.13'!$A$1:$U$21</definedName>
    <definedName name="_xlnm.Print_Area" localSheetId="11">'11.7.2013'!$A$1:$Z$25</definedName>
    <definedName name="_xlnm.Print_Area" localSheetId="5">'15.8.2013'!$A$1:$T$21</definedName>
    <definedName name="_xlnm.Print_Area" localSheetId="10">'18.7.2013'!$A$1:$Z$25</definedName>
    <definedName name="_xlnm.Print_Area" localSheetId="4">'22.8.2013'!$A$1:$T$21</definedName>
    <definedName name="_xlnm.Print_Area" localSheetId="9">'25.7.2013'!$A$1:$Z$25</definedName>
    <definedName name="_xlnm.Print_Area" localSheetId="3">'29.8.2013'!$A$1:$T$21</definedName>
    <definedName name="_xlnm.Print_Area" localSheetId="2">'29.8.2013 (2)'!$A$1:$T$21</definedName>
    <definedName name="_xlnm.Print_Area" localSheetId="8">'31.07'!$A$1:$AF$21</definedName>
    <definedName name="_xlnm.Print_Area" localSheetId="13">'5 thang'!$A$1:$Z$21</definedName>
    <definedName name="_xlnm.Print_Area" localSheetId="0">'Dang Ky lam GTNT'!$A$1:$Q$19</definedName>
  </definedNames>
  <calcPr fullCalcOnLoad="1"/>
</workbook>
</file>

<file path=xl/sharedStrings.xml><?xml version="1.0" encoding="utf-8"?>
<sst xmlns="http://schemas.openxmlformats.org/spreadsheetml/2006/main" count="1607" uniqueCount="364">
  <si>
    <t>TT</t>
  </si>
  <si>
    <t>Huyện, thị, thành phố</t>
  </si>
  <si>
    <t>Cẩm Xuyên</t>
  </si>
  <si>
    <t>Lộc Hà</t>
  </si>
  <si>
    <t>Hương Sơn</t>
  </si>
  <si>
    <t>Vũ Quang</t>
  </si>
  <si>
    <t>Đức Thọ</t>
  </si>
  <si>
    <t>Hương Khê</t>
  </si>
  <si>
    <t>Can Lộc</t>
  </si>
  <si>
    <t>Thạch Hà</t>
  </si>
  <si>
    <t>Nghi Xuân</t>
  </si>
  <si>
    <t>Kỳ Anh</t>
  </si>
  <si>
    <t>TX Hồng Lĩnh</t>
  </si>
  <si>
    <t>Tp Hà Tĩnh</t>
  </si>
  <si>
    <t>Ghi chú</t>
  </si>
  <si>
    <t>BẢNG TỔNG HỢP KHỐI LƯỢNG ĐĂNG KÝ LÀM ĐƯỜNG GTNT NĂM 2013</t>
  </si>
  <si>
    <t>(Kèm theo Báo cáo tình hình thực hiện kế hoạch làm đường GTNT năm 2013 ngày 24/4/2013 của Sở GTVT)</t>
  </si>
  <si>
    <t>Đường trục thôn, xóm</t>
  </si>
  <si>
    <t>Đường ngõ, xóm</t>
  </si>
  <si>
    <t>Đường trục chính nội đồng</t>
  </si>
  <si>
    <t>Tổng số</t>
  </si>
  <si>
    <t>Trong đó:</t>
  </si>
  <si>
    <t>Đăng ký khối lượng làm đường GTNT trong tháng 4 và tháng 5 năm 2013 
(km)</t>
  </si>
  <si>
    <t>Tổng cộng</t>
  </si>
  <si>
    <t>SỞ GIAO THÔNG VẬN TẢI</t>
  </si>
  <si>
    <t>Khối lượng đăng ký kế hoạch xây dựng đường GTNT năm 2013 theo QĐ 869
(km)</t>
  </si>
  <si>
    <t>Khối lượng đăng ký xây dựng đường GTNT năm 2013 có cam kết bố trí vốn</t>
  </si>
  <si>
    <t>580T</t>
  </si>
  <si>
    <t>XM về</t>
  </si>
  <si>
    <t>Thứ 3 ký hợp đồng</t>
  </si>
  <si>
    <t>có thay đổi KL</t>
  </si>
  <si>
    <t>Chưa ký hợp đồng</t>
  </si>
  <si>
    <t>Đường vào khu chăn nuôi tập trung</t>
  </si>
  <si>
    <t xml:space="preserve">đã ký </t>
  </si>
  <si>
    <t>Khối lượng xi măng đã nhận được
(T)</t>
  </si>
  <si>
    <t>Chưa nhận xi măng</t>
  </si>
  <si>
    <t>BẢNG TỔNG HỢP KHỐI LƯỢNG LÀM ĐƯỜNG GTNT NĂM 2013</t>
  </si>
  <si>
    <t>Khối lượng xi măng nhận
(T)</t>
  </si>
  <si>
    <t>Tổng cộng
(km)</t>
  </si>
  <si>
    <t>Đường trục thôn, xóm
(km)</t>
  </si>
  <si>
    <t>Đường ngõ, xóm
(km)</t>
  </si>
  <si>
    <t>Đường trục chính nội đồng
(km)</t>
  </si>
  <si>
    <t>Đường vào khu chăn nuôi tập trung
(km)</t>
  </si>
  <si>
    <t>Đánh giá mức độ hoàn thành theo kế hoạch 
(%)</t>
  </si>
  <si>
    <t>Khối lượng thực hiện trong tháng báo cáo</t>
  </si>
  <si>
    <t>Khối lượng thực hiện lũy kế đến tháng báo cáo</t>
  </si>
  <si>
    <t>Chưa nhận</t>
  </si>
  <si>
    <t>21=15/3</t>
  </si>
  <si>
    <t>Ghi chú: 
- Khối lượng xi măng đã nhận của các địa phương bao gồm cả đường giao thông và thủy lợi nội đồng;</t>
  </si>
  <si>
    <t>- Huyện Đức Thọ làm thêm được 4,5km đường BTXM từ các dự án lồng ghép</t>
  </si>
  <si>
    <t>ĐẾN NGÀY 31 THÁNG 5 NĂM 2013</t>
  </si>
  <si>
    <t>Xã</t>
  </si>
  <si>
    <t>BẢNG TỔNG HỢP KHỐI LƯỢNG LÀM ĐƯỜNG GTNT NĂM 2013 - HUYỆN HƯƠNG SƠN</t>
  </si>
  <si>
    <t>Xã Sơn Tân</t>
  </si>
  <si>
    <t>Xã Sơn Ninh</t>
  </si>
  <si>
    <t>Xã Sơn Bằng</t>
  </si>
  <si>
    <t>Xã Sơn Châu</t>
  </si>
  <si>
    <t>Xã Sơn Bình</t>
  </si>
  <si>
    <t>Xã Sơn Long</t>
  </si>
  <si>
    <t>Xã Sơn Mỹ</t>
  </si>
  <si>
    <t>Xã Sơn Thịnh</t>
  </si>
  <si>
    <t>Xã Sơn An</t>
  </si>
  <si>
    <t>Xã Sơn Tiến</t>
  </si>
  <si>
    <t>Xã Sơn Trung</t>
  </si>
  <si>
    <t>Xã Sơn Phú</t>
  </si>
  <si>
    <t>Gia Phố</t>
  </si>
  <si>
    <t>Hương Trà</t>
  </si>
  <si>
    <t>Phúc Trạch</t>
  </si>
  <si>
    <t>Phú Phong</t>
  </si>
  <si>
    <t>Phương Mỹ</t>
  </si>
  <si>
    <t>Phương Điền</t>
  </si>
  <si>
    <t>Phúc Đồng</t>
  </si>
  <si>
    <t>Hà Linh</t>
  </si>
  <si>
    <t>Hương Thuỷ</t>
  </si>
  <si>
    <t>Hương Giang</t>
  </si>
  <si>
    <t>Lộc Yên</t>
  </si>
  <si>
    <t>Hương Đô</t>
  </si>
  <si>
    <t>Hương Trạch</t>
  </si>
  <si>
    <t>Hoà Hải</t>
  </si>
  <si>
    <t>Hương Bình</t>
  </si>
  <si>
    <t>Hương Long</t>
  </si>
  <si>
    <t>Phú Gia</t>
  </si>
  <si>
    <t>Hương Vĩnh</t>
  </si>
  <si>
    <t>Hương Xuân</t>
  </si>
  <si>
    <t>Hương Lâm</t>
  </si>
  <si>
    <t>Hương Liên</t>
  </si>
  <si>
    <t>BẢNG TỔNG HỢP KHỐI LƯỢNG LÀM ĐƯỜNG GTNT NĂM 2013 - HUYỆN ĐỨC THỌ</t>
  </si>
  <si>
    <t>BẢNG TỔNG HỢP KHỐI LƯỢNG LÀM ĐƯỜNG GTNT NĂM 2013 - HUYỆN VŨ QUANG</t>
  </si>
  <si>
    <t>BẢNG TỔNG HỢP KHỐI LƯỢNG LÀM ĐƯỜNG GTNT NĂM 2013 - HUYỆN KỲ ANH</t>
  </si>
  <si>
    <t>BẢNG TỔNG HỢP KHỐI LƯỢNG LÀM ĐƯỜNG GTNT NĂM 2013 - HUYỆN HƯƠNG KHÊ</t>
  </si>
  <si>
    <t>Kỳ Tân</t>
  </si>
  <si>
    <t>Kỳ Bắc</t>
  </si>
  <si>
    <t>Kỳ Giang</t>
  </si>
  <si>
    <t>Kỳ Thư</t>
  </si>
  <si>
    <t>Kỳ Phương</t>
  </si>
  <si>
    <t>Kỳ Trung</t>
  </si>
  <si>
    <t>Kỳ Châu</t>
  </si>
  <si>
    <t>Kỳ Phong</t>
  </si>
  <si>
    <t>Kỳ Tiến</t>
  </si>
  <si>
    <t>Kỳ Xuân</t>
  </si>
  <si>
    <t>Kỳ Đồng</t>
  </si>
  <si>
    <t xml:space="preserve">Kỳ Phú </t>
  </si>
  <si>
    <t>Kỳ Khang</t>
  </si>
  <si>
    <t>Kỳ Thọ</t>
  </si>
  <si>
    <t>Kỳ Văn</t>
  </si>
  <si>
    <t>Kỳ Hải</t>
  </si>
  <si>
    <t>Kỳ Hà</t>
  </si>
  <si>
    <t>Kỳ Ninh</t>
  </si>
  <si>
    <t>Kỳ Hoa</t>
  </si>
  <si>
    <t>Kỳ Hưng</t>
  </si>
  <si>
    <t>Kỳ Trinh</t>
  </si>
  <si>
    <t>Kỳ Thịnh</t>
  </si>
  <si>
    <t>Kỳ Lợi</t>
  </si>
  <si>
    <t>Kỳ Long</t>
  </si>
  <si>
    <t>Kỳ Liên</t>
  </si>
  <si>
    <t>Kỳ Nam</t>
  </si>
  <si>
    <t>Kỳ Sơn</t>
  </si>
  <si>
    <t>Kỳ Lâm</t>
  </si>
  <si>
    <t>Kỳ Thượng</t>
  </si>
  <si>
    <t>Kỳ Lạc</t>
  </si>
  <si>
    <t>Kỳ Tây</t>
  </si>
  <si>
    <t>Kỳ Hợp</t>
  </si>
  <si>
    <t>Xã Hương Minh</t>
  </si>
  <si>
    <t>Xã Ân Phú</t>
  </si>
  <si>
    <t>Xã Đức Lĩnh</t>
  </si>
  <si>
    <t>Xã Đức Bồng</t>
  </si>
  <si>
    <t>Xã Đức Liên</t>
  </si>
  <si>
    <t>Xã Hương Thọ</t>
  </si>
  <si>
    <t>Xã Đức Giang</t>
  </si>
  <si>
    <t>Xã Đức Hương</t>
  </si>
  <si>
    <t>Xã Sơn Thọ</t>
  </si>
  <si>
    <t>Tùng Ảnh</t>
  </si>
  <si>
    <t>Xã Trung Lễ</t>
  </si>
  <si>
    <t>Xã Thái Yên</t>
  </si>
  <si>
    <t>Yên Hồ</t>
  </si>
  <si>
    <t>Đức Yên</t>
  </si>
  <si>
    <t>Trường Sơn</t>
  </si>
  <si>
    <t>Xã Đức Lạng</t>
  </si>
  <si>
    <t>Xã Đức Đồng</t>
  </si>
  <si>
    <t>Xã Đức Lạc</t>
  </si>
  <si>
    <t>Xã Đức Hòa</t>
  </si>
  <si>
    <t>Xã Đức Long</t>
  </si>
  <si>
    <t>Xã Đức Lập</t>
  </si>
  <si>
    <t>Xã Đức An</t>
  </si>
  <si>
    <t>Xã Đức Dũng</t>
  </si>
  <si>
    <t>Xã Đức Lâm</t>
  </si>
  <si>
    <t>Xã Đức Thanh</t>
  </si>
  <si>
    <t>Xã Đức Thủy</t>
  </si>
  <si>
    <t>Xã Đức Thịnh</t>
  </si>
  <si>
    <t>Đức Nhân</t>
  </si>
  <si>
    <t>Bùi Xá</t>
  </si>
  <si>
    <t>Liên Minh</t>
  </si>
  <si>
    <t>Đức Tùng</t>
  </si>
  <si>
    <t>Đức Châu</t>
  </si>
  <si>
    <t>Đức La</t>
  </si>
  <si>
    <t>Đức Quang</t>
  </si>
  <si>
    <t>Đức Vĩnh</t>
  </si>
  <si>
    <t>Tân Hương</t>
  </si>
  <si>
    <t>TT Vũ Quang</t>
  </si>
  <si>
    <t>TT Kỳ anh</t>
  </si>
  <si>
    <t>Xã, thị trấn</t>
  </si>
  <si>
    <t>Thị trấn</t>
  </si>
  <si>
    <t>Lồng ghép</t>
  </si>
  <si>
    <t>TT Hương Khê</t>
  </si>
  <si>
    <t>Xã Sơn Hoà</t>
  </si>
  <si>
    <t>Xã Sơn  Lễ</t>
  </si>
  <si>
    <t>Xã Sơn Phúc</t>
  </si>
  <si>
    <t>Xã Sơn Mai</t>
  </si>
  <si>
    <t>Xã Sơn Trường</t>
  </si>
  <si>
    <t>Xã Sơn Hàm</t>
  </si>
  <si>
    <t>Xã Sơn Diệm</t>
  </si>
  <si>
    <t>TT. P Châu</t>
  </si>
  <si>
    <t>Xã Sơn Giang</t>
  </si>
  <si>
    <t>Xã Sơn Quang</t>
  </si>
  <si>
    <t>Xã Sơn Lâm</t>
  </si>
  <si>
    <t>Xã Sơn Tây</t>
  </si>
  <si>
    <t>Xã Sơn Lĩnh</t>
  </si>
  <si>
    <t>Xã Sơn Hồng</t>
  </si>
  <si>
    <t>Xã Sơn Kim 1</t>
  </si>
  <si>
    <t>Xã Sơn Kim 2</t>
  </si>
  <si>
    <t>TT Tây Sơn</t>
  </si>
  <si>
    <t>Xã, Thị trấn</t>
  </si>
  <si>
    <t>Thạch Hạ</t>
  </si>
  <si>
    <t>Thạch Trung</t>
  </si>
  <si>
    <t>Thạch Môn</t>
  </si>
  <si>
    <t>Thạch Bình</t>
  </si>
  <si>
    <t>Thạch Hưng</t>
  </si>
  <si>
    <t>Thạch Đồng</t>
  </si>
  <si>
    <t>An Lộc</t>
  </si>
  <si>
    <t>Phù Lưu</t>
  </si>
  <si>
    <t>Ích Hậu</t>
  </si>
  <si>
    <t>Thạch Mỹ</t>
  </si>
  <si>
    <t>Thạch Kim</t>
  </si>
  <si>
    <t>Hộ Độ</t>
  </si>
  <si>
    <t>Bình Lộc</t>
  </si>
  <si>
    <t>Thịnh Lộc</t>
  </si>
  <si>
    <t>Tân Lộc</t>
  </si>
  <si>
    <t>Mai Phụ</t>
  </si>
  <si>
    <t>Thạch Bằng</t>
  </si>
  <si>
    <t>Hồng Lộc</t>
  </si>
  <si>
    <t>Thạch Châu</t>
  </si>
  <si>
    <t>Khối lượng xi măng 
(T)</t>
  </si>
  <si>
    <t>Khối lượng xi măng
(T)</t>
  </si>
  <si>
    <t>Xã Xuân Lam</t>
  </si>
  <si>
    <t>Xã Xuân Hồng</t>
  </si>
  <si>
    <t>Xã Xuân Lĩnh</t>
  </si>
  <si>
    <t>Xã Xuân Giang</t>
  </si>
  <si>
    <t>Xã Tiên Điền</t>
  </si>
  <si>
    <t>Xã Xuân Viên</t>
  </si>
  <si>
    <t>Xã Xuân Mỹ</t>
  </si>
  <si>
    <t>Xã Xuân Thành</t>
  </si>
  <si>
    <t>Xã Xuân Liên</t>
  </si>
  <si>
    <t>Xã Cổ Đạm</t>
  </si>
  <si>
    <t>Xã Cương Gián</t>
  </si>
  <si>
    <t>Xã Xuân Yên</t>
  </si>
  <si>
    <t>Xã Xuân Trường</t>
  </si>
  <si>
    <t>Xã Xuân Hội</t>
  </si>
  <si>
    <t>Xã Thuận Lộc</t>
  </si>
  <si>
    <t>Cẩm Vĩnh</t>
  </si>
  <si>
    <t>Cẩm Bình</t>
  </si>
  <si>
    <t>Cẩm Thành</t>
  </si>
  <si>
    <t>Cẩm Thạch</t>
  </si>
  <si>
    <t>Cẩm Mỹ</t>
  </si>
  <si>
    <t>Cẩm Duệ</t>
  </si>
  <si>
    <t>Cẩm Huy</t>
  </si>
  <si>
    <t>Cẩm Yên</t>
  </si>
  <si>
    <t>Cẩm Nam</t>
  </si>
  <si>
    <t>Cẩm Hoà</t>
  </si>
  <si>
    <t>Cẩm Dương</t>
  </si>
  <si>
    <t>Cẩm Nhượng</t>
  </si>
  <si>
    <t xml:space="preserve">Cẩm Phúc </t>
  </si>
  <si>
    <t>Cẩm Thăng</t>
  </si>
  <si>
    <t>Cẩm Hưng</t>
  </si>
  <si>
    <t>Cẩm Thịnh</t>
  </si>
  <si>
    <t>Cẩm Sơn</t>
  </si>
  <si>
    <t>Cẩm Hà</t>
  </si>
  <si>
    <t>Cẩm Lộc</t>
  </si>
  <si>
    <t>Cẩm Trung</t>
  </si>
  <si>
    <t>Cẩm Lạc</t>
  </si>
  <si>
    <t xml:space="preserve">Cẩm Lĩnh </t>
  </si>
  <si>
    <t>Cẩm Minh</t>
  </si>
  <si>
    <t>Cẩm Quan</t>
  </si>
  <si>
    <t>Cẩm Quang</t>
  </si>
  <si>
    <t>Xã Thạch Kênh</t>
  </si>
  <si>
    <t>Xã Thạch Liên</t>
  </si>
  <si>
    <t>Xã Việt Xuyên</t>
  </si>
  <si>
    <t>Xã Phù Việt</t>
  </si>
  <si>
    <t>Xã Thạch Long</t>
  </si>
  <si>
    <t>Xã Thạch Sơn</t>
  </si>
  <si>
    <t>Xã Thạch Thanh</t>
  </si>
  <si>
    <t>TT Thạch Hà</t>
  </si>
  <si>
    <t>Xã Thạch Tiến</t>
  </si>
  <si>
    <t>Xã Thạch Ngọc</t>
  </si>
  <si>
    <t>Xã Ngọc Sơn</t>
  </si>
  <si>
    <t>Xã Bắc Sơn</t>
  </si>
  <si>
    <t>Xã Thạch Xuân</t>
  </si>
  <si>
    <t>Xã Thạch Hương</t>
  </si>
  <si>
    <t>Xã Tượng Sơn</t>
  </si>
  <si>
    <t>Xã Thạch Thắng</t>
  </si>
  <si>
    <t>Xã Thạch Điền</t>
  </si>
  <si>
    <t>Xã Nam Hương</t>
  </si>
  <si>
    <t>Xã Thạch Lâm</t>
  </si>
  <si>
    <t>Xã Thạch Tân</t>
  </si>
  <si>
    <t>Xã Thạch Đài</t>
  </si>
  <si>
    <t>Xã Thạch Lưu</t>
  </si>
  <si>
    <t>Xã Thạch Vĩnh</t>
  </si>
  <si>
    <t>Xã Thạch Khê</t>
  </si>
  <si>
    <t>Xã Thạch Đỉnh</t>
  </si>
  <si>
    <t>Xã Thạch Hải</t>
  </si>
  <si>
    <t>Xã Thạch Bàn</t>
  </si>
  <si>
    <t>Xã Thạch Văn</t>
  </si>
  <si>
    <t>Xã Thạch Hội</t>
  </si>
  <si>
    <t>Xã Thạch Trị</t>
  </si>
  <si>
    <t>Xã Thạch Lạc</t>
  </si>
  <si>
    <t>Xã Thuần Thiện</t>
  </si>
  <si>
    <t>Xã Quang Lộc</t>
  </si>
  <si>
    <t>Xã Khánh Lộc</t>
  </si>
  <si>
    <t>Xã Trung Lộc</t>
  </si>
  <si>
    <t>Xã Vượng Lộc</t>
  </si>
  <si>
    <t>Xã Kim Lộc</t>
  </si>
  <si>
    <t>Xã Tùng Lộc</t>
  </si>
  <si>
    <t>Xã Đồng Lộc</t>
  </si>
  <si>
    <t>Xã Thượng Lộc</t>
  </si>
  <si>
    <t>Xã Phú Lộc</t>
  </si>
  <si>
    <t>Xã Gia Hanh</t>
  </si>
  <si>
    <t>Xã Tiến Lộc</t>
  </si>
  <si>
    <t>Xã Sơn Lộc</t>
  </si>
  <si>
    <t>Xã Xuân Lộc</t>
  </si>
  <si>
    <t>Xã Thanh Lộc</t>
  </si>
  <si>
    <t>Xã Song Lộc</t>
  </si>
  <si>
    <t>Xã Thiên Lộc</t>
  </si>
  <si>
    <t>Xã Trường Lộc</t>
  </si>
  <si>
    <t>Xã Yên Lộc</t>
  </si>
  <si>
    <t>Xã Vĩnh Lộc</t>
  </si>
  <si>
    <t>Xã Mỹ Lộc</t>
  </si>
  <si>
    <t>Xã Thường Nga</t>
  </si>
  <si>
    <t xml:space="preserve">Thị trấn </t>
  </si>
  <si>
    <t>- Trước Đề án hỗ trợ Xi măng, huyện Hương Sơn làm thêm được 2,44km đường BTXM</t>
  </si>
  <si>
    <t>BẢNG TỔNG HỢP KHỐI LƯỢNG LÀM ĐƯỜNG GTNT NĂM 2013 - HUYỆN LỘC HÀ</t>
  </si>
  <si>
    <t>BẢNG TỔNG HỢP KHỐI LƯỢNG LÀM ĐƯỜNG GTNT NĂM 2013 - HUYỆN CAN LỘC</t>
  </si>
  <si>
    <t>BẢNG TỔNG HỢP KHỐI LƯỢNG LÀM ĐƯỜNG GTNT NĂM 2013 - HUYỆN CẨM XUYÊN</t>
  </si>
  <si>
    <t>BẢNG TỔNG HỢP KHỐI LƯỢNG LÀM ĐƯỜNG GTNT NĂM 2013 - HUYỆN THẠCH HÀ</t>
  </si>
  <si>
    <t>BẢNG TỔNG HỢP KHỐI LƯỢNG LÀM ĐƯỜNG GTNT NĂM 2013 - HUYỆN NGHI XUÂN</t>
  </si>
  <si>
    <t>BẢNG TỔNG HỢP KHỐI LƯỢNG LÀM ĐƯỜNG GTNT NĂM 2013 - THỊ XÃ HỒNG LĨNH</t>
  </si>
  <si>
    <t>BẢNG TỔNG HỢP KHỐI LƯỢNG LÀM ĐƯỜNG GTNT NĂM 2013 - THÀNH PHỐ HÀ TĨNH</t>
  </si>
  <si>
    <t>ĐẾN NGÀY 22 THÁNG 6 NĂM 2013</t>
  </si>
  <si>
    <t>ĐẾN NGÀY 04 THÁNG 7 NĂM 2013</t>
  </si>
  <si>
    <t>Khối lượng thực hiện lũy kế đến thời điểm báo cáo</t>
  </si>
  <si>
    <t>Chưa kể 2km đường BTXM các phường khác làm (không được hỗ trợ xi măng)</t>
  </si>
  <si>
    <t>Trong đó 3,6km làm trước khi có KH hỗ trợ XM của tỉnh</t>
  </si>
  <si>
    <t>- Trong đó 5,9km làm trước khi có KH hỗ trợ XM của tỉnh
- Chưa kể 4,5 km đường BTXM từ các dự án</t>
  </si>
  <si>
    <t>Chưa kể 4,0km làm trước khi có KH hỗ trợ XM của tỉnh</t>
  </si>
  <si>
    <t>Chưa kể 26,6 km đường nhựa, BTXM từ các dự án</t>
  </si>
  <si>
    <t>Tổng (kể cả đường dự án và đường làm trước khi có KH của tỉnh)</t>
  </si>
  <si>
    <t>Trong đó 2,44km làm trước khi có KH hỗ trợ XM của tỉnh</t>
  </si>
  <si>
    <t>Chưa kể 4,5 km đường BTXM từ các dự án</t>
  </si>
  <si>
    <t>Chưa kể 10 km đường nhựa, BTXM từ các dự án</t>
  </si>
  <si>
    <t>ĐẾN NGÀY 11 THÁNG 7 NĂM 2013</t>
  </si>
  <si>
    <t>ĐẾN NGÀY 18 THÁNG 7 NĂM 2013</t>
  </si>
  <si>
    <t>Chưa kể 12 km đường nhựa, BTXM từ các dự án</t>
  </si>
  <si>
    <t>Chưa kể 1,3 km đường BTXM từ dự án</t>
  </si>
  <si>
    <t>Chưa kể 2,2km đường Thị trấn không được hỗ trợ XM</t>
  </si>
  <si>
    <t>Chưa kể 2,1km đường BTXM các phường khác làm (không được hỗ trợ xi măng)</t>
  </si>
  <si>
    <t>Khối lượng thực hiện lũy kế đến 04/7/2013</t>
  </si>
  <si>
    <t>ĐẾN NGÀY 01 THÁNG 8 NĂM 2013</t>
  </si>
  <si>
    <t>Khối lượng thực hiện trong tháng 7/2013</t>
  </si>
  <si>
    <t>ĐẾN NGÀY 25 THÁNG 7 NĂM 2013</t>
  </si>
  <si>
    <t>Đường dự án và đường khác
(km)</t>
  </si>
  <si>
    <t>Chưa kể 2,25km đường Thị trấn không được hỗ trợ XM</t>
  </si>
  <si>
    <t xml:space="preserve">Tổng đường dự án và đường khác: </t>
  </si>
  <si>
    <t>ĐẾN NGÀY 08 THÁNG 8 NĂM 2013</t>
  </si>
  <si>
    <t>ĐẾN NGÀY 15 THÁNG 8 NĂM 2013</t>
  </si>
  <si>
    <t>ĐẾN NGÀY 31 THÁNG 7 NĂM 2013</t>
  </si>
  <si>
    <t xml:space="preserve">Đường dự án và đường khác: </t>
  </si>
  <si>
    <t>Chưa kể 2,77km đường BTXM các phường khác làm (không được hỗ trợ xi măng)</t>
  </si>
  <si>
    <t>- Trong đó 3,6km làm trước khi có KH hỗ trợ XM của tỉnh
- Chưa kể 0,96km đường Thị trấn (không được hỗ trợ XM)</t>
  </si>
  <si>
    <t>- Chưa kể 2,44km làm trước khi có KH hỗ trợ XM của tỉnh
- Chưa kể 1,8km đường Thị trấn không được hỗ trợ XM</t>
  </si>
  <si>
    <t>Chưa kể 0,5km đường Thị trấn (không được hỗ trợ XM)</t>
  </si>
  <si>
    <t>Chưa kể 2,25km đường Thị trấn (không được hỗ trợ XM) và 14,46km đường BTXM làm trước khi có KH của tỉnh</t>
  </si>
  <si>
    <t>- Trong đó 3,6km làm trước khi có KH hỗ trợ XM của tỉnh
- Chưa kể 1,2km đường Thị trấn (không được hỗ trợ XM)</t>
  </si>
  <si>
    <t>Chưa kể 26,6 km đường nhựa, BTXM từ các dự án và 7,1km đường BTXM Thị trấn Thạch Hà xây dựng được</t>
  </si>
  <si>
    <t>Chưa kể 3,02km đường BTXM các phường khác làm (không được hỗ trợ xi măng)</t>
  </si>
  <si>
    <t>ĐẾN NGÀY 22 THÁNG 8 NĂM 2013</t>
  </si>
  <si>
    <t>Chưa kể 2,44km làm trước khi có KH hỗ trợ XM của tỉnh và 1,8km đường Thị trấn không được hỗ trợ XM</t>
  </si>
  <si>
    <t>Chưa kể 1,3 km đường BTXM từ dự án và 1km xây dựng trước khi có KH hỗ trợ của tỉnh</t>
  </si>
  <si>
    <t>Chưa kể 3,39km đường BTXM các phường khác làm (không được hỗ trợ xi măng)</t>
  </si>
  <si>
    <t>Chưa kể 12 km đường nhựa, BTXM từ các dự án và 6,95km đường BTXM làm trước khi có KH hỗ trợ của tỉnh</t>
  </si>
  <si>
    <t>- Trong đó 4,31km làm trước khi có KH hỗ trợ XM của tỉnh
- Chưa kể 1,2km đường Thị trấn (không được hỗ trợ XM)</t>
  </si>
  <si>
    <t>ĐẾN NGÀY 29 THÁNG 8 NĂM 2013</t>
  </si>
  <si>
    <t>- Trong đó 6,42km làm trước khi có KH hỗ trợ XM của tỉnh;
- Chưa kể 10,27km đường BTXM từ các dự án</t>
  </si>
  <si>
    <t>Chưa kể 26,6 km đường nhựa, BTXM từ các dự án và 7,2km đường BTXM Thị trấn Thạch Hà xây dựng được</t>
  </si>
  <si>
    <t>- Trong đó 1,7km làm trước khi có KH hỗ trợ XM của tỉnh;
- Chưa kể 12 km đường nhựa, BTXM từ các dự án và 6,95km đường BTXM làm trước khi có KH hỗ trợ của tỉnh không đăng ký vào KH</t>
  </si>
  <si>
    <t>tổng</t>
  </si>
  <si>
    <t>dự án</t>
  </si>
  <si>
    <t>làm trước</t>
  </si>
  <si>
    <t>869+ trước</t>
  </si>
  <si>
    <t>ĐẾN NGÀY 05 THÁNG 9 NĂM 2013</t>
  </si>
  <si>
    <t>Chưa kể 0,8km đường Thị trấn (không được hỗ trợ XM)</t>
  </si>
  <si>
    <t>- Trong đó 1,7km làm trước khi có KH hỗ trợ XM của tỉnh;
- Chưa kể 12 km đường nhựa, BTXM từ các dự án và 6,95km đường BTXM làm trước khi có KH hỗ trợ của tỉnh</t>
  </si>
  <si>
    <t>Chưa kể 14,46km đường BTXM làm trước khi có KH của tỉnh và 2,25km đường Thị trấn (không được hỗ trợ XM)</t>
  </si>
  <si>
    <t>Chưa kể 26,6 km đường nhựa, BTXM từ các dự án và 7,2km đường BTXM Thị trấn (không được hỗ trợ XM)</t>
  </si>
  <si>
    <t>Tuần này</t>
  </si>
  <si>
    <t>Tuần trước</t>
  </si>
  <si>
    <t>Tăng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</si>
</sst>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\ _₫_-;\-* #,##0\ _₫_-;_-* &quot;-&quot;??\ _₫_-;_-@_-"/>
    <numFmt numFmtId="173" formatCode="0.0%"/>
    <numFmt numFmtId="174" formatCode="0.0"/>
    <numFmt numFmtId="175" formatCode="_-* #,##0.0\ _₫_-;\-* #,##0.0\ _₫_-;_-* &quot;-&quot;??\ _₫_-;_-@_-"/>
    <numFmt numFmtId="176" formatCode="_(* #,##0_);_(* \(#,##0\);_(* &quot;-&quot;??_);_(@_)"/>
    <numFmt numFmtId="177" formatCode="_(* #,##0.0_);_(* \(#,##0.0\);_(* &quot;-&quot;??_);_(@_)"/>
    <numFmt numFmtId="178" formatCode="0.000"/>
    <numFmt numFmtId="179" formatCode="0.0000"/>
    <numFmt numFmtId="180" formatCode="0.000%"/>
    <numFmt numFmtId="181" formatCode="0.0000%"/>
    <numFmt numFmtId="182" formatCode="0.00000%"/>
    <numFmt numFmtId="183" formatCode="0.000000%"/>
    <numFmt numFmtId="184" formatCode="_-* #,##0.000\ _₫_-;\-* #,##0.000\ _₫_-;_-* &quot;-&quot;??\ _₫_-;_-@_-"/>
    <numFmt numFmtId="185" formatCode="_(* #,##0.000_);_(* \(#,##0.000\);_(* &quot;-&quot;??_);_(@_)"/>
    <numFmt numFmtId="186" formatCode="#,##0.0"/>
  </numFmts>
  <fonts count="64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.5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9"/>
      <color indexed="12"/>
      <name val="Times New Roman"/>
      <family val="1"/>
    </font>
    <font>
      <sz val="10"/>
      <color indexed="12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2"/>
    </font>
    <font>
      <sz val="11"/>
      <color indexed="12"/>
      <name val="Times New Roman"/>
      <family val="1"/>
    </font>
    <font>
      <sz val="12"/>
      <name val="Times New Roman"/>
      <family val="1"/>
    </font>
    <font>
      <sz val="11"/>
      <color indexed="8"/>
      <name val=".VnTime"/>
      <family val="2"/>
    </font>
    <font>
      <b/>
      <sz val="9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hair"/>
      <bottom/>
    </border>
    <border>
      <left/>
      <right>
        <color indexed="63"/>
      </right>
      <top style="thin"/>
      <bottom/>
    </border>
    <border>
      <left style="thin"/>
      <right style="thin"/>
      <top>
        <color indexed="63"/>
      </top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29" borderId="1" applyNumberFormat="0" applyAlignment="0" applyProtection="0"/>
    <xf numFmtId="0" fontId="57" fillId="0" borderId="6" applyNumberFormat="0" applyFill="0" applyAlignment="0" applyProtection="0"/>
    <xf numFmtId="0" fontId="58" fillId="30" borderId="0" applyNumberFormat="0" applyBorder="0" applyAlignment="0" applyProtection="0"/>
    <xf numFmtId="0" fontId="29" fillId="0" borderId="0">
      <alignment/>
      <protection/>
    </xf>
    <xf numFmtId="0" fontId="25" fillId="0" borderId="0">
      <alignment/>
      <protection/>
    </xf>
    <xf numFmtId="0" fontId="26" fillId="0" borderId="0">
      <alignment/>
      <protection/>
    </xf>
    <xf numFmtId="0" fontId="1" fillId="31" borderId="7" applyNumberFormat="0" applyFont="0" applyAlignment="0" applyProtection="0"/>
    <xf numFmtId="0" fontId="59" fillId="26" borderId="8" applyNumberFormat="0" applyAlignment="0" applyProtection="0"/>
    <xf numFmtId="9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94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2" fontId="5" fillId="0" borderId="11" xfId="0" applyNumberFormat="1" applyFont="1" applyBorder="1" applyAlignment="1">
      <alignment/>
    </xf>
    <xf numFmtId="0" fontId="4" fillId="0" borderId="11" xfId="0" applyFont="1" applyBorder="1" applyAlignment="1">
      <alignment wrapText="1"/>
    </xf>
    <xf numFmtId="2" fontId="4" fillId="0" borderId="11" xfId="0" applyNumberFormat="1" applyFont="1" applyBorder="1" applyAlignment="1">
      <alignment/>
    </xf>
    <xf numFmtId="0" fontId="5" fillId="0" borderId="12" xfId="0" applyFont="1" applyBorder="1" applyAlignment="1">
      <alignment/>
    </xf>
    <xf numFmtId="2" fontId="5" fillId="0" borderId="12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7" fillId="0" borderId="11" xfId="0" applyFont="1" applyBorder="1" applyAlignment="1">
      <alignment wrapText="1"/>
    </xf>
    <xf numFmtId="0" fontId="4" fillId="0" borderId="0" xfId="0" applyFont="1" applyAlignment="1">
      <alignment vertical="center" wrapText="1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2" fontId="5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0" fontId="4" fillId="0" borderId="0" xfId="0" applyFont="1" applyFill="1" applyAlignment="1">
      <alignment/>
    </xf>
    <xf numFmtId="2" fontId="4" fillId="0" borderId="11" xfId="0" applyNumberFormat="1" applyFont="1" applyFill="1" applyBorder="1" applyAlignment="1">
      <alignment/>
    </xf>
    <xf numFmtId="171" fontId="5" fillId="0" borderId="11" xfId="42" applyFont="1" applyFill="1" applyBorder="1" applyAlignment="1">
      <alignment/>
    </xf>
    <xf numFmtId="171" fontId="4" fillId="0" borderId="11" xfId="42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2" fontId="5" fillId="0" borderId="13" xfId="0" applyNumberFormat="1" applyFont="1" applyFill="1" applyBorder="1" applyAlignment="1">
      <alignment/>
    </xf>
    <xf numFmtId="0" fontId="4" fillId="0" borderId="13" xfId="0" applyFont="1" applyFill="1" applyBorder="1" applyAlignment="1">
      <alignment wrapText="1"/>
    </xf>
    <xf numFmtId="0" fontId="4" fillId="0" borderId="0" xfId="0" applyFont="1" applyFill="1" applyAlignment="1">
      <alignment/>
    </xf>
    <xf numFmtId="171" fontId="4" fillId="0" borderId="11" xfId="42" applyFont="1" applyFill="1" applyBorder="1" applyAlignment="1">
      <alignment horizontal="center"/>
    </xf>
    <xf numFmtId="2" fontId="4" fillId="0" borderId="0" xfId="0" applyNumberFormat="1" applyFont="1" applyFill="1" applyAlignment="1">
      <alignment/>
    </xf>
    <xf numFmtId="172" fontId="4" fillId="0" borderId="13" xfId="42" applyNumberFormat="1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/>
    </xf>
    <xf numFmtId="0" fontId="8" fillId="0" borderId="11" xfId="0" applyFont="1" applyFill="1" applyBorder="1" applyAlignment="1">
      <alignment wrapText="1"/>
    </xf>
    <xf numFmtId="2" fontId="8" fillId="0" borderId="11" xfId="0" applyNumberFormat="1" applyFont="1" applyFill="1" applyBorder="1" applyAlignment="1">
      <alignment/>
    </xf>
    <xf numFmtId="2" fontId="9" fillId="0" borderId="11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wrapText="1"/>
    </xf>
    <xf numFmtId="0" fontId="8" fillId="0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5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2" fontId="5" fillId="0" borderId="15" xfId="0" applyNumberFormat="1" applyFont="1" applyFill="1" applyBorder="1" applyAlignment="1">
      <alignment/>
    </xf>
    <xf numFmtId="0" fontId="5" fillId="0" borderId="15" xfId="0" applyFont="1" applyBorder="1" applyAlignment="1">
      <alignment/>
    </xf>
    <xf numFmtId="2" fontId="9" fillId="0" borderId="15" xfId="0" applyNumberFormat="1" applyFont="1" applyBorder="1" applyAlignment="1">
      <alignment/>
    </xf>
    <xf numFmtId="0" fontId="9" fillId="0" borderId="15" xfId="0" applyFont="1" applyBorder="1" applyAlignment="1">
      <alignment/>
    </xf>
    <xf numFmtId="0" fontId="8" fillId="0" borderId="15" xfId="0" applyFont="1" applyBorder="1" applyAlignment="1">
      <alignment/>
    </xf>
    <xf numFmtId="2" fontId="2" fillId="0" borderId="11" xfId="0" applyNumberFormat="1" applyFont="1" applyFill="1" applyBorder="1" applyAlignment="1">
      <alignment/>
    </xf>
    <xf numFmtId="9" fontId="8" fillId="0" borderId="11" xfId="60" applyFont="1" applyBorder="1" applyAlignment="1">
      <alignment/>
    </xf>
    <xf numFmtId="173" fontId="8" fillId="0" borderId="11" xfId="60" applyNumberFormat="1" applyFont="1" applyBorder="1" applyAlignment="1">
      <alignment/>
    </xf>
    <xf numFmtId="0" fontId="8" fillId="0" borderId="16" xfId="0" applyFont="1" applyBorder="1" applyAlignment="1">
      <alignment horizontal="center" vertical="center" wrapText="1"/>
    </xf>
    <xf numFmtId="172" fontId="8" fillId="0" borderId="11" xfId="42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2" fontId="10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 wrapText="1"/>
    </xf>
    <xf numFmtId="0" fontId="11" fillId="0" borderId="0" xfId="0" applyFont="1" applyFill="1" applyAlignment="1">
      <alignment/>
    </xf>
    <xf numFmtId="172" fontId="12" fillId="0" borderId="15" xfId="42" applyNumberFormat="1" applyFont="1" applyBorder="1" applyAlignment="1">
      <alignment/>
    </xf>
    <xf numFmtId="0" fontId="3" fillId="0" borderId="13" xfId="0" applyFont="1" applyFill="1" applyBorder="1" applyAlignment="1">
      <alignment wrapText="1"/>
    </xf>
    <xf numFmtId="0" fontId="11" fillId="0" borderId="0" xfId="0" applyFont="1" applyFill="1" applyAlignment="1">
      <alignment/>
    </xf>
    <xf numFmtId="0" fontId="11" fillId="0" borderId="11" xfId="0" applyFont="1" applyFill="1" applyBorder="1" applyAlignment="1">
      <alignment/>
    </xf>
    <xf numFmtId="172" fontId="3" fillId="0" borderId="11" xfId="42" applyNumberFormat="1" applyFont="1" applyFill="1" applyBorder="1" applyAlignment="1">
      <alignment/>
    </xf>
    <xf numFmtId="2" fontId="2" fillId="0" borderId="11" xfId="0" applyNumberFormat="1" applyFont="1" applyBorder="1" applyAlignment="1">
      <alignment/>
    </xf>
    <xf numFmtId="172" fontId="8" fillId="0" borderId="11" xfId="42" applyNumberFormat="1" applyFont="1" applyFill="1" applyBorder="1" applyAlignment="1">
      <alignment horizontal="right"/>
    </xf>
    <xf numFmtId="173" fontId="3" fillId="0" borderId="11" xfId="60" applyNumberFormat="1" applyFont="1" applyBorder="1" applyAlignment="1">
      <alignment/>
    </xf>
    <xf numFmtId="2" fontId="11" fillId="0" borderId="0" xfId="0" applyNumberFormat="1" applyFont="1" applyFill="1" applyAlignment="1">
      <alignment/>
    </xf>
    <xf numFmtId="173" fontId="9" fillId="0" borderId="10" xfId="60" applyNumberFormat="1" applyFont="1" applyBorder="1" applyAlignment="1">
      <alignment/>
    </xf>
    <xf numFmtId="0" fontId="3" fillId="0" borderId="11" xfId="0" applyFont="1" applyBorder="1" applyAlignment="1">
      <alignment wrapText="1"/>
    </xf>
    <xf numFmtId="0" fontId="11" fillId="0" borderId="0" xfId="0" applyFont="1" applyAlignment="1">
      <alignment/>
    </xf>
    <xf numFmtId="174" fontId="9" fillId="0" borderId="15" xfId="0" applyNumberFormat="1" applyFont="1" applyBorder="1" applyAlignment="1">
      <alignment/>
    </xf>
    <xf numFmtId="0" fontId="3" fillId="0" borderId="12" xfId="0" applyFont="1" applyFill="1" applyBorder="1" applyAlignment="1">
      <alignment wrapText="1"/>
    </xf>
    <xf numFmtId="172" fontId="4" fillId="0" borderId="0" xfId="0" applyNumberFormat="1" applyFont="1" applyAlignment="1">
      <alignment/>
    </xf>
    <xf numFmtId="9" fontId="4" fillId="0" borderId="0" xfId="60" applyFont="1" applyAlignment="1">
      <alignment/>
    </xf>
    <xf numFmtId="172" fontId="13" fillId="0" borderId="0" xfId="42" applyNumberFormat="1" applyFont="1" applyAlignment="1">
      <alignment/>
    </xf>
    <xf numFmtId="172" fontId="9" fillId="0" borderId="12" xfId="42" applyNumberFormat="1" applyFont="1" applyBorder="1" applyAlignment="1">
      <alignment/>
    </xf>
    <xf numFmtId="174" fontId="5" fillId="0" borderId="0" xfId="0" applyNumberFormat="1" applyFont="1" applyAlignment="1">
      <alignment/>
    </xf>
    <xf numFmtId="173" fontId="12" fillId="0" borderId="0" xfId="60" applyNumberFormat="1" applyFont="1" applyAlignment="1">
      <alignment/>
    </xf>
    <xf numFmtId="2" fontId="5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4" fontId="3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171" fontId="3" fillId="0" borderId="11" xfId="42" applyFont="1" applyBorder="1" applyAlignment="1">
      <alignment/>
    </xf>
    <xf numFmtId="173" fontId="4" fillId="0" borderId="0" xfId="60" applyNumberFormat="1" applyFont="1" applyAlignment="1" quotePrefix="1">
      <alignment/>
    </xf>
    <xf numFmtId="171" fontId="14" fillId="0" borderId="0" xfId="42" applyFont="1" applyAlignment="1">
      <alignment/>
    </xf>
    <xf numFmtId="2" fontId="4" fillId="0" borderId="0" xfId="0" applyNumberFormat="1" applyFont="1" applyAlignment="1">
      <alignment/>
    </xf>
    <xf numFmtId="0" fontId="3" fillId="32" borderId="11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2" fontId="10" fillId="32" borderId="11" xfId="0" applyNumberFormat="1" applyFont="1" applyFill="1" applyBorder="1" applyAlignment="1">
      <alignment/>
    </xf>
    <xf numFmtId="0" fontId="11" fillId="32" borderId="11" xfId="0" applyFont="1" applyFill="1" applyBorder="1" applyAlignment="1">
      <alignment/>
    </xf>
    <xf numFmtId="4" fontId="2" fillId="32" borderId="11" xfId="0" applyNumberFormat="1" applyFont="1" applyFill="1" applyBorder="1" applyAlignment="1">
      <alignment/>
    </xf>
    <xf numFmtId="4" fontId="3" fillId="32" borderId="11" xfId="0" applyNumberFormat="1" applyFont="1" applyFill="1" applyBorder="1" applyAlignment="1">
      <alignment/>
    </xf>
    <xf numFmtId="171" fontId="3" fillId="32" borderId="11" xfId="42" applyFont="1" applyFill="1" applyBorder="1" applyAlignment="1">
      <alignment/>
    </xf>
    <xf numFmtId="172" fontId="3" fillId="32" borderId="11" xfId="42" applyNumberFormat="1" applyFont="1" applyFill="1" applyBorder="1" applyAlignment="1">
      <alignment/>
    </xf>
    <xf numFmtId="2" fontId="2" fillId="32" borderId="11" xfId="0" applyNumberFormat="1" applyFont="1" applyFill="1" applyBorder="1" applyAlignment="1">
      <alignment/>
    </xf>
    <xf numFmtId="0" fontId="11" fillId="32" borderId="0" xfId="0" applyFont="1" applyFill="1" applyAlignment="1">
      <alignment/>
    </xf>
    <xf numFmtId="172" fontId="3" fillId="32" borderId="11" xfId="42" applyNumberFormat="1" applyFont="1" applyFill="1" applyBorder="1" applyAlignment="1">
      <alignment horizontal="right"/>
    </xf>
    <xf numFmtId="9" fontId="3" fillId="32" borderId="11" xfId="60" applyFont="1" applyFill="1" applyBorder="1" applyAlignment="1">
      <alignment/>
    </xf>
    <xf numFmtId="172" fontId="8" fillId="32" borderId="11" xfId="42" applyNumberFormat="1" applyFont="1" applyFill="1" applyBorder="1" applyAlignment="1">
      <alignment/>
    </xf>
    <xf numFmtId="172" fontId="8" fillId="32" borderId="11" xfId="42" applyNumberFormat="1" applyFont="1" applyFill="1" applyBorder="1" applyAlignment="1">
      <alignment horizontal="right"/>
    </xf>
    <xf numFmtId="9" fontId="8" fillId="32" borderId="11" xfId="60" applyFont="1" applyFill="1" applyBorder="1" applyAlignment="1">
      <alignment/>
    </xf>
    <xf numFmtId="4" fontId="17" fillId="0" borderId="11" xfId="0" applyNumberFormat="1" applyFont="1" applyBorder="1" applyAlignment="1">
      <alignment/>
    </xf>
    <xf numFmtId="0" fontId="17" fillId="0" borderId="12" xfId="0" applyFont="1" applyFill="1" applyBorder="1" applyAlignment="1">
      <alignment horizontal="center"/>
    </xf>
    <xf numFmtId="0" fontId="17" fillId="0" borderId="12" xfId="0" applyFont="1" applyFill="1" applyBorder="1" applyAlignment="1">
      <alignment/>
    </xf>
    <xf numFmtId="2" fontId="18" fillId="0" borderId="12" xfId="0" applyNumberFormat="1" applyFont="1" applyFill="1" applyBorder="1" applyAlignment="1">
      <alignment/>
    </xf>
    <xf numFmtId="2" fontId="19" fillId="0" borderId="12" xfId="0" applyNumberFormat="1" applyFont="1" applyFill="1" applyBorder="1" applyAlignment="1">
      <alignment/>
    </xf>
    <xf numFmtId="4" fontId="20" fillId="0" borderId="17" xfId="0" applyNumberFormat="1" applyFont="1" applyBorder="1" applyAlignment="1">
      <alignment/>
    </xf>
    <xf numFmtId="4" fontId="17" fillId="0" borderId="17" xfId="0" applyNumberFormat="1" applyFont="1" applyBorder="1" applyAlignment="1">
      <alignment/>
    </xf>
    <xf numFmtId="171" fontId="17" fillId="0" borderId="17" xfId="42" applyFont="1" applyBorder="1" applyAlignment="1">
      <alignment/>
    </xf>
    <xf numFmtId="172" fontId="17" fillId="0" borderId="12" xfId="42" applyNumberFormat="1" applyFont="1" applyFill="1" applyBorder="1" applyAlignment="1">
      <alignment/>
    </xf>
    <xf numFmtId="2" fontId="20" fillId="0" borderId="12" xfId="0" applyNumberFormat="1" applyFont="1" applyFill="1" applyBorder="1" applyAlignment="1">
      <alignment/>
    </xf>
    <xf numFmtId="2" fontId="17" fillId="0" borderId="12" xfId="0" applyNumberFormat="1" applyFont="1" applyFill="1" applyBorder="1" applyAlignment="1">
      <alignment/>
    </xf>
    <xf numFmtId="9" fontId="17" fillId="0" borderId="17" xfId="60" applyFont="1" applyFill="1" applyBorder="1" applyAlignment="1">
      <alignment/>
    </xf>
    <xf numFmtId="0" fontId="17" fillId="0" borderId="13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2" fontId="18" fillId="0" borderId="13" xfId="0" applyNumberFormat="1" applyFont="1" applyFill="1" applyBorder="1" applyAlignment="1">
      <alignment/>
    </xf>
    <xf numFmtId="0" fontId="19" fillId="0" borderId="13" xfId="0" applyFont="1" applyFill="1" applyBorder="1" applyAlignment="1">
      <alignment/>
    </xf>
    <xf numFmtId="4" fontId="20" fillId="0" borderId="13" xfId="0" applyNumberFormat="1" applyFont="1" applyBorder="1" applyAlignment="1">
      <alignment/>
    </xf>
    <xf numFmtId="172" fontId="17" fillId="0" borderId="13" xfId="42" applyNumberFormat="1" applyFont="1" applyFill="1" applyBorder="1" applyAlignment="1">
      <alignment/>
    </xf>
    <xf numFmtId="2" fontId="20" fillId="0" borderId="13" xfId="0" applyNumberFormat="1" applyFont="1" applyFill="1" applyBorder="1" applyAlignment="1">
      <alignment/>
    </xf>
    <xf numFmtId="172" fontId="17" fillId="0" borderId="13" xfId="42" applyNumberFormat="1" applyFont="1" applyFill="1" applyBorder="1" applyAlignment="1">
      <alignment horizontal="right"/>
    </xf>
    <xf numFmtId="173" fontId="17" fillId="0" borderId="13" xfId="60" applyNumberFormat="1" applyFont="1" applyFill="1" applyBorder="1" applyAlignment="1">
      <alignment/>
    </xf>
    <xf numFmtId="2" fontId="11" fillId="32" borderId="11" xfId="0" applyNumberFormat="1" applyFont="1" applyFill="1" applyBorder="1" applyAlignment="1">
      <alignment/>
    </xf>
    <xf numFmtId="4" fontId="2" fillId="32" borderId="11" xfId="0" applyNumberFormat="1" applyFont="1" applyFill="1" applyBorder="1" applyAlignment="1">
      <alignment/>
    </xf>
    <xf numFmtId="2" fontId="3" fillId="32" borderId="11" xfId="0" applyNumberFormat="1" applyFont="1" applyFill="1" applyBorder="1" applyAlignment="1">
      <alignment/>
    </xf>
    <xf numFmtId="171" fontId="3" fillId="32" borderId="11" xfId="42" applyFont="1" applyFill="1" applyBorder="1" applyAlignment="1">
      <alignment/>
    </xf>
    <xf numFmtId="171" fontId="2" fillId="32" borderId="11" xfId="42" applyFont="1" applyFill="1" applyBorder="1" applyAlignment="1">
      <alignment/>
    </xf>
    <xf numFmtId="0" fontId="3" fillId="32" borderId="11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/>
    </xf>
    <xf numFmtId="0" fontId="8" fillId="32" borderId="11" xfId="0" applyFont="1" applyFill="1" applyBorder="1" applyAlignment="1">
      <alignment/>
    </xf>
    <xf numFmtId="2" fontId="5" fillId="32" borderId="11" xfId="0" applyNumberFormat="1" applyFont="1" applyFill="1" applyBorder="1" applyAlignment="1">
      <alignment/>
    </xf>
    <xf numFmtId="0" fontId="4" fillId="32" borderId="11" xfId="0" applyFont="1" applyFill="1" applyBorder="1" applyAlignment="1">
      <alignment/>
    </xf>
    <xf numFmtId="2" fontId="9" fillId="32" borderId="11" xfId="0" applyNumberFormat="1" applyFont="1" applyFill="1" applyBorder="1" applyAlignment="1">
      <alignment/>
    </xf>
    <xf numFmtId="173" fontId="8" fillId="32" borderId="11" xfId="60" applyNumberFormat="1" applyFont="1" applyFill="1" applyBorder="1" applyAlignment="1">
      <alignment/>
    </xf>
    <xf numFmtId="173" fontId="3" fillId="32" borderId="11" xfId="6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" fontId="17" fillId="0" borderId="11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171" fontId="3" fillId="0" borderId="11" xfId="42" applyFont="1" applyFill="1" applyBorder="1" applyAlignment="1">
      <alignment/>
    </xf>
    <xf numFmtId="172" fontId="3" fillId="0" borderId="11" xfId="42" applyNumberFormat="1" applyFont="1" applyFill="1" applyBorder="1" applyAlignment="1">
      <alignment horizontal="right"/>
    </xf>
    <xf numFmtId="2" fontId="11" fillId="0" borderId="11" xfId="0" applyNumberFormat="1" applyFont="1" applyFill="1" applyBorder="1" applyAlignment="1">
      <alignment/>
    </xf>
    <xf numFmtId="173" fontId="9" fillId="0" borderId="10" xfId="60" applyNumberFormat="1" applyFont="1" applyFill="1" applyBorder="1" applyAlignment="1">
      <alignment/>
    </xf>
    <xf numFmtId="173" fontId="4" fillId="0" borderId="0" xfId="60" applyNumberFormat="1" applyFont="1" applyFill="1" applyAlignment="1" quotePrefix="1">
      <alignment/>
    </xf>
    <xf numFmtId="0" fontId="5" fillId="0" borderId="0" xfId="0" applyFont="1" applyFill="1" applyAlignment="1">
      <alignment/>
    </xf>
    <xf numFmtId="171" fontId="14" fillId="0" borderId="0" xfId="42" applyFont="1" applyFill="1" applyAlignment="1">
      <alignment/>
    </xf>
    <xf numFmtId="172" fontId="13" fillId="0" borderId="0" xfId="42" applyNumberFormat="1" applyFont="1" applyFill="1" applyAlignment="1">
      <alignment/>
    </xf>
    <xf numFmtId="9" fontId="4" fillId="0" borderId="0" xfId="60" applyFont="1" applyFill="1" applyAlignment="1">
      <alignment/>
    </xf>
    <xf numFmtId="174" fontId="5" fillId="0" borderId="0" xfId="0" applyNumberFormat="1" applyFont="1" applyFill="1" applyAlignment="1">
      <alignment/>
    </xf>
    <xf numFmtId="173" fontId="12" fillId="0" borderId="0" xfId="6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0" fontId="4" fillId="0" borderId="18" xfId="0" applyFont="1" applyFill="1" applyBorder="1" applyAlignment="1">
      <alignment wrapText="1"/>
    </xf>
    <xf numFmtId="0" fontId="4" fillId="0" borderId="18" xfId="0" applyFont="1" applyFill="1" applyBorder="1" applyAlignment="1">
      <alignment/>
    </xf>
    <xf numFmtId="4" fontId="17" fillId="0" borderId="13" xfId="0" applyNumberFormat="1" applyFont="1" applyFill="1" applyBorder="1" applyAlignment="1">
      <alignment/>
    </xf>
    <xf numFmtId="4" fontId="24" fillId="0" borderId="13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2" fontId="3" fillId="0" borderId="12" xfId="0" applyNumberFormat="1" applyFont="1" applyFill="1" applyBorder="1" applyAlignment="1">
      <alignment/>
    </xf>
    <xf numFmtId="2" fontId="24" fillId="0" borderId="13" xfId="0" applyNumberFormat="1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172" fontId="9" fillId="0" borderId="15" xfId="42" applyNumberFormat="1" applyFont="1" applyFill="1" applyBorder="1" applyAlignment="1">
      <alignment/>
    </xf>
    <xf numFmtId="174" fontId="9" fillId="0" borderId="15" xfId="0" applyNumberFormat="1" applyFont="1" applyFill="1" applyBorder="1" applyAlignment="1">
      <alignment/>
    </xf>
    <xf numFmtId="2" fontId="9" fillId="0" borderId="15" xfId="0" applyNumberFormat="1" applyFont="1" applyFill="1" applyBorder="1" applyAlignment="1">
      <alignment/>
    </xf>
    <xf numFmtId="172" fontId="12" fillId="0" borderId="15" xfId="42" applyNumberFormat="1" applyFont="1" applyFill="1" applyBorder="1" applyAlignment="1">
      <alignment/>
    </xf>
    <xf numFmtId="173" fontId="9" fillId="0" borderId="15" xfId="60" applyNumberFormat="1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21" fillId="0" borderId="13" xfId="0" applyFont="1" applyFill="1" applyBorder="1" applyAlignment="1">
      <alignment horizontal="left" vertical="center"/>
    </xf>
    <xf numFmtId="4" fontId="3" fillId="0" borderId="13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left" vertical="center"/>
    </xf>
    <xf numFmtId="4" fontId="24" fillId="0" borderId="11" xfId="0" applyNumberFormat="1" applyFont="1" applyFill="1" applyBorder="1" applyAlignment="1">
      <alignment/>
    </xf>
    <xf numFmtId="1" fontId="24" fillId="0" borderId="11" xfId="0" applyNumberFormat="1" applyFont="1" applyFill="1" applyBorder="1" applyAlignment="1">
      <alignment/>
    </xf>
    <xf numFmtId="2" fontId="24" fillId="0" borderId="11" xfId="0" applyNumberFormat="1" applyFont="1" applyFill="1" applyBorder="1" applyAlignment="1">
      <alignment/>
    </xf>
    <xf numFmtId="174" fontId="24" fillId="0" borderId="11" xfId="0" applyNumberFormat="1" applyFont="1" applyFill="1" applyBorder="1" applyAlignment="1">
      <alignment/>
    </xf>
    <xf numFmtId="4" fontId="24" fillId="0" borderId="12" xfId="0" applyNumberFormat="1" applyFont="1" applyFill="1" applyBorder="1" applyAlignment="1">
      <alignment/>
    </xf>
    <xf numFmtId="4" fontId="3" fillId="0" borderId="12" xfId="0" applyNumberFormat="1" applyFont="1" applyFill="1" applyBorder="1" applyAlignment="1">
      <alignment/>
    </xf>
    <xf numFmtId="171" fontId="17" fillId="0" borderId="12" xfId="42" applyFont="1" applyFill="1" applyBorder="1" applyAlignment="1">
      <alignment/>
    </xf>
    <xf numFmtId="1" fontId="24" fillId="0" borderId="12" xfId="0" applyNumberFormat="1" applyFont="1" applyFill="1" applyBorder="1" applyAlignment="1">
      <alignment/>
    </xf>
    <xf numFmtId="173" fontId="17" fillId="0" borderId="11" xfId="60" applyNumberFormat="1" applyFont="1" applyFill="1" applyBorder="1" applyAlignment="1">
      <alignment/>
    </xf>
    <xf numFmtId="173" fontId="17" fillId="0" borderId="12" xfId="60" applyNumberFormat="1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3" fillId="0" borderId="17" xfId="0" applyFont="1" applyFill="1" applyBorder="1" applyAlignment="1">
      <alignment wrapText="1"/>
    </xf>
    <xf numFmtId="0" fontId="17" fillId="33" borderId="13" xfId="0" applyFont="1" applyFill="1" applyBorder="1" applyAlignment="1">
      <alignment/>
    </xf>
    <xf numFmtId="2" fontId="4" fillId="0" borderId="18" xfId="0" applyNumberFormat="1" applyFont="1" applyFill="1" applyBorder="1" applyAlignment="1">
      <alignment/>
    </xf>
    <xf numFmtId="0" fontId="21" fillId="0" borderId="13" xfId="0" applyFont="1" applyFill="1" applyBorder="1" applyAlignment="1">
      <alignment horizontal="left" vertical="center"/>
    </xf>
    <xf numFmtId="4" fontId="17" fillId="0" borderId="13" xfId="0" applyNumberFormat="1" applyFont="1" applyFill="1" applyBorder="1" applyAlignment="1">
      <alignment/>
    </xf>
    <xf numFmtId="0" fontId="17" fillId="0" borderId="11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left" vertical="center"/>
    </xf>
    <xf numFmtId="4" fontId="17" fillId="0" borderId="11" xfId="0" applyNumberFormat="1" applyFont="1" applyFill="1" applyBorder="1" applyAlignment="1">
      <alignment/>
    </xf>
    <xf numFmtId="0" fontId="17" fillId="0" borderId="11" xfId="0" applyFont="1" applyFill="1" applyBorder="1" applyAlignment="1">
      <alignment/>
    </xf>
    <xf numFmtId="172" fontId="17" fillId="0" borderId="11" xfId="42" applyNumberFormat="1" applyFont="1" applyFill="1" applyBorder="1" applyAlignment="1">
      <alignment/>
    </xf>
    <xf numFmtId="172" fontId="17" fillId="0" borderId="11" xfId="42" applyNumberFormat="1" applyFont="1" applyFill="1" applyBorder="1" applyAlignment="1">
      <alignment horizontal="right"/>
    </xf>
    <xf numFmtId="4" fontId="17" fillId="0" borderId="12" xfId="0" applyNumberFormat="1" applyFont="1" applyFill="1" applyBorder="1" applyAlignment="1">
      <alignment/>
    </xf>
    <xf numFmtId="4" fontId="17" fillId="0" borderId="12" xfId="0" applyNumberFormat="1" applyFont="1" applyFill="1" applyBorder="1" applyAlignment="1">
      <alignment/>
    </xf>
    <xf numFmtId="2" fontId="4" fillId="34" borderId="13" xfId="56" applyNumberFormat="1" applyFont="1" applyFill="1" applyBorder="1" applyAlignment="1">
      <alignment horizontal="center" vertical="center" wrapText="1"/>
      <protection/>
    </xf>
    <xf numFmtId="1" fontId="4" fillId="34" borderId="13" xfId="56" applyNumberFormat="1" applyFont="1" applyFill="1" applyBorder="1" applyAlignment="1">
      <alignment horizontal="center" vertical="center" wrapText="1"/>
      <protection/>
    </xf>
    <xf numFmtId="2" fontId="4" fillId="34" borderId="11" xfId="56" applyNumberFormat="1" applyFont="1" applyFill="1" applyBorder="1" applyAlignment="1">
      <alignment horizontal="center" vertical="center" wrapText="1"/>
      <protection/>
    </xf>
    <xf numFmtId="1" fontId="4" fillId="34" borderId="11" xfId="56" applyNumberFormat="1" applyFont="1" applyFill="1" applyBorder="1" applyAlignment="1">
      <alignment horizontal="center" vertical="center" wrapText="1"/>
      <protection/>
    </xf>
    <xf numFmtId="0" fontId="4" fillId="34" borderId="13" xfId="56" applyFont="1" applyFill="1" applyBorder="1" applyAlignment="1">
      <alignment horizontal="center" vertical="center" wrapText="1"/>
      <protection/>
    </xf>
    <xf numFmtId="0" fontId="4" fillId="34" borderId="13" xfId="56" applyFont="1" applyFill="1" applyBorder="1" applyAlignment="1">
      <alignment horizontal="left" vertical="center" wrapText="1"/>
      <protection/>
    </xf>
    <xf numFmtId="2" fontId="4" fillId="34" borderId="13" xfId="56" applyNumberFormat="1" applyFont="1" applyFill="1" applyBorder="1" applyAlignment="1">
      <alignment horizontal="right" vertical="center" wrapText="1"/>
      <protection/>
    </xf>
    <xf numFmtId="0" fontId="4" fillId="34" borderId="11" xfId="56" applyFont="1" applyFill="1" applyBorder="1" applyAlignment="1">
      <alignment horizontal="center" vertical="center" wrapText="1"/>
      <protection/>
    </xf>
    <xf numFmtId="0" fontId="4" fillId="34" borderId="11" xfId="56" applyFont="1" applyFill="1" applyBorder="1" applyAlignment="1">
      <alignment horizontal="left" vertical="center" wrapText="1"/>
      <protection/>
    </xf>
    <xf numFmtId="2" fontId="4" fillId="34" borderId="11" xfId="56" applyNumberFormat="1" applyFont="1" applyFill="1" applyBorder="1" applyAlignment="1">
      <alignment horizontal="right" vertical="center" wrapText="1"/>
      <protection/>
    </xf>
    <xf numFmtId="0" fontId="4" fillId="0" borderId="11" xfId="56" applyFont="1" applyFill="1" applyBorder="1" applyAlignment="1">
      <alignment horizontal="center" vertical="center" wrapText="1"/>
      <protection/>
    </xf>
    <xf numFmtId="0" fontId="4" fillId="0" borderId="11" xfId="56" applyFont="1" applyFill="1" applyBorder="1" applyAlignment="1">
      <alignment horizontal="left" vertical="center" wrapText="1"/>
      <protection/>
    </xf>
    <xf numFmtId="0" fontId="11" fillId="0" borderId="11" xfId="56" applyFont="1" applyFill="1" applyBorder="1" applyAlignment="1">
      <alignment horizontal="center" vertical="center" wrapText="1"/>
      <protection/>
    </xf>
    <xf numFmtId="0" fontId="11" fillId="0" borderId="11" xfId="56" applyFont="1" applyFill="1" applyBorder="1" applyAlignment="1">
      <alignment horizontal="left" vertical="center" wrapText="1"/>
      <protection/>
    </xf>
    <xf numFmtId="0" fontId="4" fillId="0" borderId="12" xfId="56" applyFont="1" applyFill="1" applyBorder="1" applyAlignment="1">
      <alignment horizontal="left" vertical="center" wrapText="1"/>
      <protection/>
    </xf>
    <xf numFmtId="2" fontId="4" fillId="34" borderId="12" xfId="56" applyNumberFormat="1" applyFont="1" applyFill="1" applyBorder="1" applyAlignment="1">
      <alignment horizontal="right" vertical="center" wrapText="1"/>
      <protection/>
    </xf>
    <xf numFmtId="2" fontId="4" fillId="34" borderId="12" xfId="56" applyNumberFormat="1" applyFont="1" applyFill="1" applyBorder="1" applyAlignment="1">
      <alignment horizontal="center" vertical="center" wrapText="1"/>
      <protection/>
    </xf>
    <xf numFmtId="1" fontId="4" fillId="34" borderId="12" xfId="56" applyNumberFormat="1" applyFont="1" applyFill="1" applyBorder="1" applyAlignment="1">
      <alignment horizontal="center" vertical="center" wrapText="1"/>
      <protection/>
    </xf>
    <xf numFmtId="2" fontId="4" fillId="34" borderId="13" xfId="57" applyNumberFormat="1" applyFont="1" applyFill="1" applyBorder="1" applyAlignment="1">
      <alignment horizontal="center" vertical="center"/>
      <protection/>
    </xf>
    <xf numFmtId="2" fontId="4" fillId="34" borderId="13" xfId="57" applyNumberFormat="1" applyFont="1" applyFill="1" applyBorder="1" applyAlignment="1">
      <alignment horizontal="center"/>
      <protection/>
    </xf>
    <xf numFmtId="3" fontId="4" fillId="34" borderId="13" xfId="57" applyNumberFormat="1" applyFont="1" applyFill="1" applyBorder="1" applyAlignment="1">
      <alignment horizontal="center"/>
      <protection/>
    </xf>
    <xf numFmtId="2" fontId="4" fillId="34" borderId="11" xfId="57" applyNumberFormat="1" applyFont="1" applyFill="1" applyBorder="1" applyAlignment="1">
      <alignment horizontal="center" vertical="center"/>
      <protection/>
    </xf>
    <xf numFmtId="178" fontId="4" fillId="34" borderId="11" xfId="57" applyNumberFormat="1" applyFont="1" applyFill="1" applyBorder="1" applyAlignment="1">
      <alignment horizontal="center"/>
      <protection/>
    </xf>
    <xf numFmtId="2" fontId="4" fillId="34" borderId="11" xfId="57" applyNumberFormat="1" applyFont="1" applyFill="1" applyBorder="1" applyAlignment="1">
      <alignment horizontal="center"/>
      <protection/>
    </xf>
    <xf numFmtId="3" fontId="4" fillId="34" borderId="11" xfId="57" applyNumberFormat="1" applyFont="1" applyFill="1" applyBorder="1" applyAlignment="1">
      <alignment horizontal="center"/>
      <protection/>
    </xf>
    <xf numFmtId="2" fontId="11" fillId="34" borderId="11" xfId="56" applyNumberFormat="1" applyFont="1" applyFill="1" applyBorder="1" applyAlignment="1">
      <alignment horizontal="center"/>
      <protection/>
    </xf>
    <xf numFmtId="2" fontId="11" fillId="0" borderId="11" xfId="56" applyNumberFormat="1" applyFont="1" applyFill="1" applyBorder="1" applyAlignment="1">
      <alignment horizontal="center"/>
      <protection/>
    </xf>
    <xf numFmtId="2" fontId="4" fillId="0" borderId="11" xfId="57" applyNumberFormat="1" applyFont="1" applyFill="1" applyBorder="1" applyAlignment="1">
      <alignment horizontal="center"/>
      <protection/>
    </xf>
    <xf numFmtId="2" fontId="27" fillId="0" borderId="11" xfId="56" applyNumberFormat="1" applyFont="1" applyFill="1" applyBorder="1" applyAlignment="1">
      <alignment horizontal="center"/>
      <protection/>
    </xf>
    <xf numFmtId="2" fontId="11" fillId="34" borderId="11" xfId="56" applyNumberFormat="1" applyFont="1" applyFill="1" applyBorder="1" applyAlignment="1">
      <alignment horizontal="right" vertical="center" wrapText="1"/>
      <protection/>
    </xf>
    <xf numFmtId="2" fontId="11" fillId="0" borderId="12" xfId="56" applyNumberFormat="1" applyFont="1" applyFill="1" applyBorder="1" applyAlignment="1">
      <alignment horizontal="center"/>
      <protection/>
    </xf>
    <xf numFmtId="3" fontId="4" fillId="34" borderId="12" xfId="57" applyNumberFormat="1" applyFont="1" applyFill="1" applyBorder="1" applyAlignment="1">
      <alignment horizontal="center"/>
      <protection/>
    </xf>
    <xf numFmtId="2" fontId="4" fillId="0" borderId="13" xfId="57" applyNumberFormat="1" applyFont="1" applyBorder="1" applyAlignment="1">
      <alignment horizontal="right" vertical="center" wrapText="1"/>
      <protection/>
    </xf>
    <xf numFmtId="1" fontId="4" fillId="34" borderId="11" xfId="57" applyNumberFormat="1" applyFont="1" applyFill="1" applyBorder="1" applyAlignment="1">
      <alignment horizontal="center"/>
      <protection/>
    </xf>
    <xf numFmtId="2" fontId="4" fillId="0" borderId="11" xfId="57" applyNumberFormat="1" applyFont="1" applyBorder="1" applyAlignment="1">
      <alignment horizontal="right" vertical="center" wrapText="1"/>
      <protection/>
    </xf>
    <xf numFmtId="2" fontId="11" fillId="34" borderId="11" xfId="57" applyNumberFormat="1" applyFont="1" applyFill="1" applyBorder="1" applyAlignment="1">
      <alignment horizontal="center"/>
      <protection/>
    </xf>
    <xf numFmtId="2" fontId="27" fillId="34" borderId="11" xfId="57" applyNumberFormat="1" applyFont="1" applyFill="1" applyBorder="1" applyAlignment="1">
      <alignment horizontal="center"/>
      <protection/>
    </xf>
    <xf numFmtId="1" fontId="5" fillId="0" borderId="15" xfId="0" applyNumberFormat="1" applyFont="1" applyFill="1" applyBorder="1" applyAlignment="1">
      <alignment/>
    </xf>
    <xf numFmtId="2" fontId="4" fillId="0" borderId="13" xfId="57" applyNumberFormat="1" applyFont="1" applyBorder="1" applyAlignment="1">
      <alignment horizontal="center" vertical="center" wrapText="1"/>
      <protection/>
    </xf>
    <xf numFmtId="1" fontId="4" fillId="0" borderId="13" xfId="57" applyNumberFormat="1" applyFont="1" applyBorder="1" applyAlignment="1">
      <alignment horizontal="center" vertical="center" wrapText="1"/>
      <protection/>
    </xf>
    <xf numFmtId="0" fontId="4" fillId="0" borderId="12" xfId="56" applyFont="1" applyFill="1" applyBorder="1" applyAlignment="1">
      <alignment horizontal="center" vertical="center" wrapText="1"/>
      <protection/>
    </xf>
    <xf numFmtId="2" fontId="4" fillId="0" borderId="12" xfId="57" applyNumberFormat="1" applyFont="1" applyBorder="1" applyAlignment="1">
      <alignment horizontal="right" vertical="center" wrapText="1"/>
      <protection/>
    </xf>
    <xf numFmtId="2" fontId="4" fillId="34" borderId="12" xfId="57" applyNumberFormat="1" applyFont="1" applyFill="1" applyBorder="1" applyAlignment="1">
      <alignment horizontal="center"/>
      <protection/>
    </xf>
    <xf numFmtId="1" fontId="4" fillId="34" borderId="12" xfId="57" applyNumberFormat="1" applyFont="1" applyFill="1" applyBorder="1" applyAlignment="1">
      <alignment horizontal="center"/>
      <protection/>
    </xf>
    <xf numFmtId="173" fontId="5" fillId="0" borderId="15" xfId="60" applyNumberFormat="1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72" fontId="3" fillId="0" borderId="11" xfId="42" applyNumberFormat="1" applyFont="1" applyFill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172" fontId="3" fillId="0" borderId="17" xfId="42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172" fontId="8" fillId="0" borderId="11" xfId="42" applyNumberFormat="1" applyFont="1" applyFill="1" applyBorder="1" applyAlignment="1">
      <alignment horizontal="center" vertical="center"/>
    </xf>
    <xf numFmtId="0" fontId="28" fillId="0" borderId="13" xfId="0" applyFont="1" applyBorder="1" applyAlignment="1">
      <alignment/>
    </xf>
    <xf numFmtId="0" fontId="28" fillId="0" borderId="11" xfId="0" applyFont="1" applyBorder="1" applyAlignment="1">
      <alignment/>
    </xf>
    <xf numFmtId="0" fontId="28" fillId="0" borderId="17" xfId="0" applyFont="1" applyBorder="1" applyAlignment="1">
      <alignment/>
    </xf>
    <xf numFmtId="2" fontId="11" fillId="0" borderId="13" xfId="0" applyNumberFormat="1" applyFont="1" applyBorder="1" applyAlignment="1">
      <alignment/>
    </xf>
    <xf numFmtId="2" fontId="11" fillId="0" borderId="11" xfId="0" applyNumberFormat="1" applyFont="1" applyBorder="1" applyAlignment="1">
      <alignment/>
    </xf>
    <xf numFmtId="2" fontId="11" fillId="0" borderId="17" xfId="0" applyNumberFormat="1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1" xfId="0" applyFont="1" applyBorder="1" applyAlignment="1">
      <alignment horizontal="right" vertical="center"/>
    </xf>
    <xf numFmtId="0" fontId="11" fillId="0" borderId="17" xfId="0" applyFont="1" applyBorder="1" applyAlignment="1">
      <alignment horizontal="right" vertical="center"/>
    </xf>
    <xf numFmtId="0" fontId="10" fillId="0" borderId="13" xfId="0" applyFont="1" applyBorder="1" applyAlignment="1">
      <alignment/>
    </xf>
    <xf numFmtId="0" fontId="11" fillId="0" borderId="13" xfId="0" applyFont="1" applyFill="1" applyBorder="1" applyAlignment="1">
      <alignment/>
    </xf>
    <xf numFmtId="172" fontId="3" fillId="0" borderId="13" xfId="42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7" fillId="0" borderId="17" xfId="0" applyFont="1" applyFill="1" applyBorder="1" applyAlignment="1">
      <alignment horizontal="center"/>
    </xf>
    <xf numFmtId="0" fontId="17" fillId="0" borderId="17" xfId="0" applyFont="1" applyFill="1" applyBorder="1" applyAlignment="1">
      <alignment/>
    </xf>
    <xf numFmtId="4" fontId="17" fillId="0" borderId="17" xfId="0" applyNumberFormat="1" applyFont="1" applyFill="1" applyBorder="1" applyAlignment="1">
      <alignment/>
    </xf>
    <xf numFmtId="4" fontId="17" fillId="0" borderId="17" xfId="0" applyNumberFormat="1" applyFont="1" applyFill="1" applyBorder="1" applyAlignment="1">
      <alignment/>
    </xf>
    <xf numFmtId="171" fontId="17" fillId="0" borderId="17" xfId="42" applyFont="1" applyFill="1" applyBorder="1" applyAlignment="1">
      <alignment/>
    </xf>
    <xf numFmtId="172" fontId="17" fillId="0" borderId="17" xfId="42" applyNumberFormat="1" applyFont="1" applyFill="1" applyBorder="1" applyAlignment="1">
      <alignment/>
    </xf>
    <xf numFmtId="2" fontId="17" fillId="0" borderId="17" xfId="0" applyNumberFormat="1" applyFont="1" applyFill="1" applyBorder="1" applyAlignment="1">
      <alignment/>
    </xf>
    <xf numFmtId="173" fontId="17" fillId="0" borderId="17" xfId="60" applyNumberFormat="1" applyFont="1" applyFill="1" applyBorder="1" applyAlignment="1">
      <alignment/>
    </xf>
    <xf numFmtId="172" fontId="9" fillId="0" borderId="10" xfId="42" applyNumberFormat="1" applyFont="1" applyFill="1" applyBorder="1" applyAlignment="1">
      <alignment/>
    </xf>
    <xf numFmtId="174" fontId="9" fillId="0" borderId="10" xfId="0" applyNumberFormat="1" applyFont="1" applyFill="1" applyBorder="1" applyAlignment="1">
      <alignment/>
    </xf>
    <xf numFmtId="2" fontId="9" fillId="0" borderId="10" xfId="0" applyNumberFormat="1" applyFont="1" applyFill="1" applyBorder="1" applyAlignment="1">
      <alignment/>
    </xf>
    <xf numFmtId="172" fontId="12" fillId="0" borderId="10" xfId="42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21" fillId="33" borderId="11" xfId="0" applyFont="1" applyFill="1" applyBorder="1" applyAlignment="1">
      <alignment horizontal="left" vertical="center"/>
    </xf>
    <xf numFmtId="0" fontId="23" fillId="33" borderId="11" xfId="0" applyFont="1" applyFill="1" applyBorder="1" applyAlignment="1">
      <alignment horizontal="left" vertical="center"/>
    </xf>
    <xf numFmtId="0" fontId="21" fillId="0" borderId="12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/>
    </xf>
    <xf numFmtId="2" fontId="10" fillId="0" borderId="17" xfId="0" applyNumberFormat="1" applyFont="1" applyFill="1" applyBorder="1" applyAlignment="1">
      <alignment/>
    </xf>
    <xf numFmtId="4" fontId="24" fillId="0" borderId="17" xfId="0" applyNumberFormat="1" applyFont="1" applyFill="1" applyBorder="1" applyAlignment="1">
      <alignment/>
    </xf>
    <xf numFmtId="174" fontId="24" fillId="0" borderId="17" xfId="0" applyNumberFormat="1" applyFont="1" applyFill="1" applyBorder="1" applyAlignment="1">
      <alignment/>
    </xf>
    <xf numFmtId="0" fontId="3" fillId="0" borderId="17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4" fontId="11" fillId="0" borderId="13" xfId="0" applyNumberFormat="1" applyFont="1" applyBorder="1" applyAlignment="1">
      <alignment horizontal="center" vertical="center"/>
    </xf>
    <xf numFmtId="172" fontId="11" fillId="0" borderId="13" xfId="42" applyNumberFormat="1" applyFont="1" applyFill="1" applyBorder="1" applyAlignment="1">
      <alignment horizontal="center" vertical="center"/>
    </xf>
    <xf numFmtId="4" fontId="11" fillId="0" borderId="11" xfId="0" applyNumberFormat="1" applyFont="1" applyBorder="1" applyAlignment="1">
      <alignment horizontal="center" vertical="center"/>
    </xf>
    <xf numFmtId="172" fontId="11" fillId="0" borderId="11" xfId="42" applyNumberFormat="1" applyFont="1" applyFill="1" applyBorder="1" applyAlignment="1">
      <alignment horizontal="center" vertical="center"/>
    </xf>
    <xf numFmtId="4" fontId="11" fillId="0" borderId="12" xfId="0" applyNumberFormat="1" applyFont="1" applyBorder="1" applyAlignment="1">
      <alignment horizontal="center" vertical="center"/>
    </xf>
    <xf numFmtId="172" fontId="5" fillId="0" borderId="10" xfId="42" applyNumberFormat="1" applyFont="1" applyFill="1" applyBorder="1" applyAlignment="1">
      <alignment/>
    </xf>
    <xf numFmtId="173" fontId="5" fillId="0" borderId="10" xfId="6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1" fillId="0" borderId="13" xfId="0" applyNumberFormat="1" applyFont="1" applyBorder="1" applyAlignment="1">
      <alignment horizontal="center" vertical="center"/>
    </xf>
    <xf numFmtId="0" fontId="11" fillId="0" borderId="13" xfId="0" applyNumberFormat="1" applyFont="1" applyBorder="1" applyAlignment="1">
      <alignment vertical="center"/>
    </xf>
    <xf numFmtId="0" fontId="11" fillId="0" borderId="11" xfId="0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right" vertical="center"/>
    </xf>
    <xf numFmtId="0" fontId="11" fillId="0" borderId="11" xfId="0" applyNumberFormat="1" applyFont="1" applyBorder="1" applyAlignment="1">
      <alignment vertical="center"/>
    </xf>
    <xf numFmtId="0" fontId="11" fillId="0" borderId="12" xfId="0" applyNumberFormat="1" applyFont="1" applyBorder="1" applyAlignment="1">
      <alignment horizontal="center" vertical="center"/>
    </xf>
    <xf numFmtId="0" fontId="11" fillId="0" borderId="12" xfId="0" applyNumberFormat="1" applyFont="1" applyBorder="1" applyAlignment="1">
      <alignment vertical="center"/>
    </xf>
    <xf numFmtId="0" fontId="5" fillId="0" borderId="10" xfId="0" applyNumberFormat="1" applyFont="1" applyFill="1" applyBorder="1" applyAlignment="1">
      <alignment/>
    </xf>
    <xf numFmtId="0" fontId="5" fillId="0" borderId="10" xfId="42" applyNumberFormat="1" applyFont="1" applyFill="1" applyBorder="1" applyAlignment="1">
      <alignment/>
    </xf>
    <xf numFmtId="172" fontId="11" fillId="0" borderId="12" xfId="42" applyNumberFormat="1" applyFont="1" applyFill="1" applyBorder="1" applyAlignment="1">
      <alignment horizontal="center" vertical="center"/>
    </xf>
    <xf numFmtId="0" fontId="11" fillId="0" borderId="12" xfId="0" applyNumberFormat="1" applyFont="1" applyBorder="1" applyAlignment="1">
      <alignment horizontal="right" vertical="center"/>
    </xf>
    <xf numFmtId="0" fontId="11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2" fontId="18" fillId="0" borderId="13" xfId="0" applyNumberFormat="1" applyFont="1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4" fontId="27" fillId="0" borderId="13" xfId="0" applyNumberFormat="1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27" fillId="0" borderId="13" xfId="0" applyNumberFormat="1" applyFont="1" applyFill="1" applyBorder="1" applyAlignment="1">
      <alignment vertical="center"/>
    </xf>
    <xf numFmtId="0" fontId="10" fillId="0" borderId="13" xfId="0" applyNumberFormat="1" applyFont="1" applyBorder="1" applyAlignment="1">
      <alignment vertical="center"/>
    </xf>
    <xf numFmtId="0" fontId="11" fillId="0" borderId="13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2" fontId="10" fillId="0" borderId="11" xfId="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4" fontId="27" fillId="0" borderId="11" xfId="0" applyNumberFormat="1" applyFont="1" applyFill="1" applyBorder="1" applyAlignment="1">
      <alignment vertical="center"/>
    </xf>
    <xf numFmtId="0" fontId="27" fillId="0" borderId="11" xfId="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vertical="center" wrapText="1"/>
    </xf>
    <xf numFmtId="2" fontId="5" fillId="0" borderId="11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2" fontId="10" fillId="0" borderId="12" xfId="0" applyNumberFormat="1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4" fontId="27" fillId="0" borderId="12" xfId="0" applyNumberFormat="1" applyFont="1" applyFill="1" applyBorder="1" applyAlignment="1">
      <alignment vertical="center"/>
    </xf>
    <xf numFmtId="0" fontId="27" fillId="0" borderId="12" xfId="0" applyNumberFormat="1" applyFont="1" applyFill="1" applyBorder="1" applyAlignment="1">
      <alignment vertical="center"/>
    </xf>
    <xf numFmtId="0" fontId="11" fillId="0" borderId="12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173" fontId="5" fillId="0" borderId="10" xfId="60" applyNumberFormat="1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0" fontId="5" fillId="0" borderId="10" xfId="42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9" fontId="19" fillId="0" borderId="13" xfId="60" applyFont="1" applyFill="1" applyBorder="1" applyAlignment="1">
      <alignment vertical="center"/>
    </xf>
    <xf numFmtId="9" fontId="19" fillId="0" borderId="11" xfId="60" applyFont="1" applyFill="1" applyBorder="1" applyAlignment="1">
      <alignment vertical="center"/>
    </xf>
    <xf numFmtId="9" fontId="19" fillId="0" borderId="12" xfId="60" applyFont="1" applyFill="1" applyBorder="1" applyAlignment="1">
      <alignment vertical="center"/>
    </xf>
    <xf numFmtId="173" fontId="19" fillId="0" borderId="11" xfId="60" applyNumberFormat="1" applyFont="1" applyFill="1" applyBorder="1" applyAlignment="1">
      <alignment vertical="center"/>
    </xf>
    <xf numFmtId="173" fontId="19" fillId="0" borderId="13" xfId="6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19" fillId="0" borderId="13" xfId="0" applyFont="1" applyFill="1" applyBorder="1" applyAlignment="1">
      <alignment vertical="center"/>
    </xf>
    <xf numFmtId="4" fontId="27" fillId="0" borderId="13" xfId="0" applyNumberFormat="1" applyFont="1" applyFill="1" applyBorder="1" applyAlignment="1">
      <alignment vertical="center"/>
    </xf>
    <xf numFmtId="2" fontId="3" fillId="0" borderId="13" xfId="57" applyNumberFormat="1" applyFont="1" applyBorder="1">
      <alignment/>
      <protection/>
    </xf>
    <xf numFmtId="0" fontId="11" fillId="0" borderId="13" xfId="0" applyFont="1" applyFill="1" applyBorder="1" applyAlignment="1">
      <alignment vertical="center"/>
    </xf>
    <xf numFmtId="172" fontId="11" fillId="0" borderId="13" xfId="42" applyNumberFormat="1" applyFont="1" applyFill="1" applyBorder="1" applyAlignment="1">
      <alignment horizontal="center" vertical="center"/>
    </xf>
    <xf numFmtId="0" fontId="27" fillId="0" borderId="13" xfId="0" applyNumberFormat="1" applyFont="1" applyFill="1" applyBorder="1" applyAlignment="1">
      <alignment vertical="center"/>
    </xf>
    <xf numFmtId="174" fontId="3" fillId="0" borderId="13" xfId="57" applyNumberFormat="1" applyFont="1" applyBorder="1">
      <alignment/>
      <protection/>
    </xf>
    <xf numFmtId="0" fontId="11" fillId="0" borderId="13" xfId="0" applyNumberFormat="1" applyFont="1" applyBorder="1" applyAlignment="1">
      <alignment vertical="center"/>
    </xf>
    <xf numFmtId="174" fontId="3" fillId="0" borderId="13" xfId="0" applyNumberFormat="1" applyFont="1" applyBorder="1" applyAlignment="1">
      <alignment/>
    </xf>
    <xf numFmtId="0" fontId="10" fillId="0" borderId="13" xfId="0" applyNumberFormat="1" applyFont="1" applyBorder="1" applyAlignment="1">
      <alignment vertical="center"/>
    </xf>
    <xf numFmtId="173" fontId="19" fillId="0" borderId="13" xfId="60" applyNumberFormat="1" applyFont="1" applyFill="1" applyBorder="1" applyAlignment="1">
      <alignment vertical="center"/>
    </xf>
    <xf numFmtId="0" fontId="11" fillId="0" borderId="13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11" fillId="0" borderId="11" xfId="0" applyFont="1" applyFill="1" applyBorder="1" applyAlignment="1">
      <alignment vertical="center"/>
    </xf>
    <xf numFmtId="4" fontId="27" fillId="0" borderId="11" xfId="0" applyNumberFormat="1" applyFont="1" applyFill="1" applyBorder="1" applyAlignment="1">
      <alignment vertical="center"/>
    </xf>
    <xf numFmtId="2" fontId="3" fillId="0" borderId="11" xfId="57" applyNumberFormat="1" applyFont="1" applyBorder="1">
      <alignment/>
      <protection/>
    </xf>
    <xf numFmtId="172" fontId="11" fillId="0" borderId="11" xfId="42" applyNumberFormat="1" applyFont="1" applyFill="1" applyBorder="1" applyAlignment="1">
      <alignment horizontal="center" vertical="center"/>
    </xf>
    <xf numFmtId="0" fontId="27" fillId="0" borderId="11" xfId="0" applyNumberFormat="1" applyFont="1" applyFill="1" applyBorder="1" applyAlignment="1">
      <alignment vertical="center"/>
    </xf>
    <xf numFmtId="0" fontId="11" fillId="0" borderId="11" xfId="0" applyNumberFormat="1" applyFont="1" applyBorder="1" applyAlignment="1">
      <alignment horizontal="right" vertical="center"/>
    </xf>
    <xf numFmtId="2" fontId="3" fillId="0" borderId="11" xfId="0" applyNumberFormat="1" applyFont="1" applyBorder="1" applyAlignment="1">
      <alignment/>
    </xf>
    <xf numFmtId="173" fontId="19" fillId="0" borderId="11" xfId="6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174" fontId="3" fillId="0" borderId="11" xfId="57" applyNumberFormat="1" applyFont="1" applyBorder="1">
      <alignment/>
      <protection/>
    </xf>
    <xf numFmtId="0" fontId="4" fillId="0" borderId="11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11" fillId="0" borderId="12" xfId="0" applyFont="1" applyFill="1" applyBorder="1" applyAlignment="1">
      <alignment vertical="center"/>
    </xf>
    <xf numFmtId="4" fontId="27" fillId="0" borderId="12" xfId="0" applyNumberFormat="1" applyFont="1" applyFill="1" applyBorder="1" applyAlignment="1">
      <alignment vertical="center"/>
    </xf>
    <xf numFmtId="2" fontId="3" fillId="0" borderId="12" xfId="57" applyNumberFormat="1" applyFont="1" applyBorder="1">
      <alignment/>
      <protection/>
    </xf>
    <xf numFmtId="172" fontId="11" fillId="0" borderId="12" xfId="42" applyNumberFormat="1" applyFont="1" applyFill="1" applyBorder="1" applyAlignment="1">
      <alignment horizontal="center" vertical="center"/>
    </xf>
    <xf numFmtId="0" fontId="27" fillId="0" borderId="12" xfId="0" applyNumberFormat="1" applyFont="1" applyFill="1" applyBorder="1" applyAlignment="1">
      <alignment vertical="center"/>
    </xf>
    <xf numFmtId="0" fontId="11" fillId="0" borderId="12" xfId="0" applyNumberFormat="1" applyFont="1" applyBorder="1" applyAlignment="1">
      <alignment horizontal="right" vertical="center"/>
    </xf>
    <xf numFmtId="174" fontId="3" fillId="0" borderId="12" xfId="57" applyNumberFormat="1" applyFont="1" applyBorder="1">
      <alignment/>
      <protection/>
    </xf>
    <xf numFmtId="2" fontId="3" fillId="0" borderId="12" xfId="0" applyNumberFormat="1" applyFont="1" applyBorder="1" applyAlignment="1">
      <alignment/>
    </xf>
    <xf numFmtId="173" fontId="19" fillId="0" borderId="12" xfId="60" applyNumberFormat="1" applyFont="1" applyFill="1" applyBorder="1" applyAlignment="1">
      <alignment vertical="center"/>
    </xf>
    <xf numFmtId="0" fontId="11" fillId="0" borderId="12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2" fontId="5" fillId="0" borderId="10" xfId="42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/>
    </xf>
    <xf numFmtId="0" fontId="5" fillId="0" borderId="10" xfId="42" applyNumberFormat="1" applyFont="1" applyFill="1" applyBorder="1" applyAlignment="1">
      <alignment/>
    </xf>
    <xf numFmtId="173" fontId="5" fillId="0" borderId="10" xfId="6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0" borderId="13" xfId="55" applyFont="1" applyBorder="1" applyAlignment="1">
      <alignment vertical="center"/>
      <protection/>
    </xf>
    <xf numFmtId="4" fontId="3" fillId="0" borderId="13" xfId="0" applyNumberFormat="1" applyFont="1" applyBorder="1" applyAlignment="1">
      <alignment horizontal="right" wrapText="1"/>
    </xf>
    <xf numFmtId="0" fontId="8" fillId="0" borderId="11" xfId="55" applyFont="1" applyBorder="1" applyAlignment="1">
      <alignment vertical="center"/>
      <protection/>
    </xf>
    <xf numFmtId="4" fontId="3" fillId="0" borderId="11" xfId="0" applyNumberFormat="1" applyFont="1" applyBorder="1" applyAlignment="1">
      <alignment horizontal="right" wrapText="1"/>
    </xf>
    <xf numFmtId="4" fontId="8" fillId="0" borderId="11" xfId="55" applyNumberFormat="1" applyFont="1" applyBorder="1" applyAlignment="1">
      <alignment horizontal="center" vertical="center"/>
      <protection/>
    </xf>
    <xf numFmtId="4" fontId="3" fillId="0" borderId="11" xfId="0" applyNumberFormat="1" applyFont="1" applyBorder="1" applyAlignment="1">
      <alignment wrapText="1"/>
    </xf>
    <xf numFmtId="0" fontId="8" fillId="0" borderId="12" xfId="55" applyFont="1" applyBorder="1" applyAlignment="1">
      <alignment vertical="center"/>
      <protection/>
    </xf>
    <xf numFmtId="4" fontId="3" fillId="0" borderId="12" xfId="0" applyNumberFormat="1" applyFont="1" applyBorder="1" applyAlignment="1">
      <alignment horizontal="right" wrapText="1"/>
    </xf>
    <xf numFmtId="4" fontId="8" fillId="0" borderId="12" xfId="55" applyNumberFormat="1" applyFont="1" applyBorder="1" applyAlignment="1">
      <alignment horizontal="center" vertical="center"/>
      <protection/>
    </xf>
    <xf numFmtId="0" fontId="1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1" fillId="0" borderId="13" xfId="0" applyNumberFormat="1" applyFont="1" applyFill="1" applyBorder="1" applyAlignment="1">
      <alignment vertical="center"/>
    </xf>
    <xf numFmtId="0" fontId="11" fillId="0" borderId="13" xfId="42" applyNumberFormat="1" applyFont="1" applyFill="1" applyBorder="1" applyAlignment="1">
      <alignment horizontal="center" vertical="center"/>
    </xf>
    <xf numFmtId="0" fontId="4" fillId="0" borderId="11" xfId="42" applyNumberFormat="1" applyFont="1" applyBorder="1" applyAlignment="1">
      <alignment vertical="center" wrapText="1"/>
    </xf>
    <xf numFmtId="0" fontId="11" fillId="0" borderId="11" xfId="0" applyNumberFormat="1" applyFont="1" applyFill="1" applyBorder="1" applyAlignment="1">
      <alignment vertical="center"/>
    </xf>
    <xf numFmtId="0" fontId="11" fillId="0" borderId="11" xfId="42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vertical="center"/>
    </xf>
    <xf numFmtId="0" fontId="4" fillId="0" borderId="12" xfId="42" applyNumberFormat="1" applyFont="1" applyBorder="1" applyAlignment="1">
      <alignment vertical="center" wrapText="1"/>
    </xf>
    <xf numFmtId="2" fontId="27" fillId="0" borderId="11" xfId="0" applyNumberFormat="1" applyFont="1" applyFill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4" fillId="0" borderId="13" xfId="42" applyNumberFormat="1" applyFont="1" applyBorder="1" applyAlignment="1">
      <alignment vertical="center"/>
    </xf>
    <xf numFmtId="0" fontId="4" fillId="0" borderId="13" xfId="42" applyNumberFormat="1" applyFont="1" applyBorder="1" applyAlignment="1">
      <alignment horizontal="center" vertical="center"/>
    </xf>
    <xf numFmtId="0" fontId="11" fillId="0" borderId="13" xfId="0" applyNumberFormat="1" applyFont="1" applyBorder="1" applyAlignment="1">
      <alignment horizontal="right" vertical="center" wrapText="1"/>
    </xf>
    <xf numFmtId="0" fontId="11" fillId="0" borderId="13" xfId="57" applyNumberFormat="1" applyFont="1" applyBorder="1" applyAlignment="1">
      <alignment vertical="center"/>
      <protection/>
    </xf>
    <xf numFmtId="2" fontId="11" fillId="0" borderId="13" xfId="0" applyNumberFormat="1" applyFont="1" applyBorder="1" applyAlignment="1">
      <alignment horizontal="right" vertical="center" wrapText="1"/>
    </xf>
    <xf numFmtId="0" fontId="4" fillId="0" borderId="13" xfId="0" applyNumberFormat="1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4" fillId="0" borderId="11" xfId="42" applyNumberFormat="1" applyFont="1" applyBorder="1" applyAlignment="1">
      <alignment vertical="center"/>
    </xf>
    <xf numFmtId="0" fontId="4" fillId="0" borderId="11" xfId="42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right" vertical="center" wrapText="1"/>
    </xf>
    <xf numFmtId="0" fontId="11" fillId="0" borderId="11" xfId="57" applyNumberFormat="1" applyFont="1" applyBorder="1" applyAlignment="1">
      <alignment vertical="center"/>
      <protection/>
    </xf>
    <xf numFmtId="2" fontId="11" fillId="0" borderId="11" xfId="0" applyNumberFormat="1" applyFont="1" applyBorder="1" applyAlignment="1">
      <alignment horizontal="right" vertical="center" wrapText="1"/>
    </xf>
    <xf numFmtId="0" fontId="4" fillId="0" borderId="11" xfId="0" applyNumberFormat="1" applyFont="1" applyBorder="1" applyAlignment="1">
      <alignment vertical="center"/>
    </xf>
    <xf numFmtId="0" fontId="11" fillId="0" borderId="11" xfId="0" applyNumberFormat="1" applyFont="1" applyBorder="1" applyAlignment="1">
      <alignment vertical="center" wrapText="1"/>
    </xf>
    <xf numFmtId="0" fontId="11" fillId="0" borderId="11" xfId="42" applyNumberFormat="1" applyFont="1" applyBorder="1" applyAlignment="1">
      <alignment vertical="center"/>
    </xf>
    <xf numFmtId="0" fontId="11" fillId="0" borderId="11" xfId="0" applyNumberFormat="1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4" fillId="0" borderId="12" xfId="42" applyNumberFormat="1" applyFont="1" applyBorder="1" applyAlignment="1">
      <alignment vertical="center"/>
    </xf>
    <xf numFmtId="0" fontId="4" fillId="0" borderId="12" xfId="42" applyNumberFormat="1" applyFont="1" applyBorder="1" applyAlignment="1">
      <alignment horizontal="center" vertical="center"/>
    </xf>
    <xf numFmtId="0" fontId="4" fillId="0" borderId="0" xfId="0" applyFont="1" applyAlignment="1" quotePrefix="1">
      <alignment/>
    </xf>
    <xf numFmtId="4" fontId="24" fillId="0" borderId="13" xfId="0" applyNumberFormat="1" applyFont="1" applyFill="1" applyBorder="1" applyAlignment="1">
      <alignment vertical="center"/>
    </xf>
    <xf numFmtId="2" fontId="24" fillId="0" borderId="13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17" fillId="0" borderId="13" xfId="0" applyFont="1" applyFill="1" applyBorder="1" applyAlignment="1">
      <alignment vertical="center"/>
    </xf>
    <xf numFmtId="173" fontId="17" fillId="0" borderId="13" xfId="6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 wrapText="1"/>
    </xf>
    <xf numFmtId="4" fontId="24" fillId="0" borderId="11" xfId="0" applyNumberFormat="1" applyFont="1" applyFill="1" applyBorder="1" applyAlignment="1">
      <alignment vertical="center"/>
    </xf>
    <xf numFmtId="1" fontId="24" fillId="0" borderId="11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173" fontId="17" fillId="0" borderId="11" xfId="6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2" fontId="24" fillId="0" borderId="11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 wrapText="1"/>
    </xf>
    <xf numFmtId="174" fontId="24" fillId="0" borderId="11" xfId="0" applyNumberFormat="1" applyFont="1" applyFill="1" applyBorder="1" applyAlignment="1">
      <alignment vertical="center"/>
    </xf>
    <xf numFmtId="2" fontId="5" fillId="0" borderId="15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2" fontId="9" fillId="0" borderId="15" xfId="0" applyNumberFormat="1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172" fontId="9" fillId="0" borderId="15" xfId="42" applyNumberFormat="1" applyFont="1" applyFill="1" applyBorder="1" applyAlignment="1">
      <alignment vertical="center"/>
    </xf>
    <xf numFmtId="174" fontId="9" fillId="0" borderId="15" xfId="0" applyNumberFormat="1" applyFont="1" applyFill="1" applyBorder="1" applyAlignment="1">
      <alignment vertical="center"/>
    </xf>
    <xf numFmtId="172" fontId="12" fillId="0" borderId="15" xfId="42" applyNumberFormat="1" applyFont="1" applyFill="1" applyBorder="1" applyAlignment="1">
      <alignment vertical="center"/>
    </xf>
    <xf numFmtId="173" fontId="9" fillId="0" borderId="15" xfId="60" applyNumberFormat="1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4" fontId="24" fillId="0" borderId="12" xfId="0" applyNumberFormat="1" applyFont="1" applyFill="1" applyBorder="1" applyAlignment="1">
      <alignment vertical="center"/>
    </xf>
    <xf numFmtId="4" fontId="3" fillId="0" borderId="12" xfId="0" applyNumberFormat="1" applyFont="1" applyBorder="1" applyAlignment="1">
      <alignment horizontal="center" vertical="center"/>
    </xf>
    <xf numFmtId="172" fontId="3" fillId="0" borderId="12" xfId="42" applyNumberFormat="1" applyFont="1" applyFill="1" applyBorder="1" applyAlignment="1">
      <alignment horizontal="center" vertical="center"/>
    </xf>
    <xf numFmtId="2" fontId="24" fillId="0" borderId="12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172" fontId="8" fillId="0" borderId="12" xfId="42" applyNumberFormat="1" applyFont="1" applyFill="1" applyBorder="1" applyAlignment="1">
      <alignment horizontal="center" vertical="center"/>
    </xf>
    <xf numFmtId="173" fontId="17" fillId="0" borderId="12" xfId="60" applyNumberFormat="1" applyFont="1" applyFill="1" applyBorder="1" applyAlignment="1">
      <alignment vertical="center"/>
    </xf>
    <xf numFmtId="0" fontId="8" fillId="0" borderId="12" xfId="0" applyFont="1" applyFill="1" applyBorder="1" applyAlignment="1">
      <alignment vertical="center" wrapText="1"/>
    </xf>
    <xf numFmtId="0" fontId="17" fillId="0" borderId="13" xfId="0" applyFont="1" applyFill="1" applyBorder="1" applyAlignment="1">
      <alignment horizontal="center" vertical="center"/>
    </xf>
    <xf numFmtId="2" fontId="11" fillId="0" borderId="13" xfId="0" applyNumberFormat="1" applyFont="1" applyFill="1" applyBorder="1" applyAlignment="1">
      <alignment vertical="center"/>
    </xf>
    <xf numFmtId="172" fontId="17" fillId="0" borderId="13" xfId="42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vertical="center" wrapText="1"/>
    </xf>
    <xf numFmtId="0" fontId="17" fillId="0" borderId="11" xfId="0" applyFont="1" applyFill="1" applyBorder="1" applyAlignment="1">
      <alignment horizontal="center" vertical="center"/>
    </xf>
    <xf numFmtId="2" fontId="11" fillId="0" borderId="11" xfId="0" applyNumberFormat="1" applyFont="1" applyFill="1" applyBorder="1" applyAlignment="1">
      <alignment vertical="center"/>
    </xf>
    <xf numFmtId="172" fontId="3" fillId="0" borderId="11" xfId="42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2" fontId="8" fillId="0" borderId="11" xfId="0" applyNumberFormat="1" applyFont="1" applyFill="1" applyBorder="1" applyAlignment="1">
      <alignment vertical="center"/>
    </xf>
    <xf numFmtId="172" fontId="8" fillId="0" borderId="11" xfId="42" applyNumberFormat="1" applyFont="1" applyFill="1" applyBorder="1" applyAlignment="1">
      <alignment horizontal="right" vertical="center"/>
    </xf>
    <xf numFmtId="2" fontId="11" fillId="33" borderId="11" xfId="0" applyNumberFormat="1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8" fillId="33" borderId="11" xfId="0" applyFont="1" applyFill="1" applyBorder="1" applyAlignment="1">
      <alignment vertical="center"/>
    </xf>
    <xf numFmtId="172" fontId="8" fillId="33" borderId="11" xfId="42" applyNumberFormat="1" applyFont="1" applyFill="1" applyBorder="1" applyAlignment="1">
      <alignment vertical="center"/>
    </xf>
    <xf numFmtId="173" fontId="17" fillId="33" borderId="11" xfId="60" applyNumberFormat="1" applyFont="1" applyFill="1" applyBorder="1" applyAlignment="1">
      <alignment vertical="center"/>
    </xf>
    <xf numFmtId="172" fontId="3" fillId="0" borderId="11" xfId="42" applyNumberFormat="1" applyFont="1" applyFill="1" applyBorder="1" applyAlignment="1">
      <alignment horizontal="right" vertical="center"/>
    </xf>
    <xf numFmtId="2" fontId="11" fillId="0" borderId="11" xfId="0" applyNumberFormat="1" applyFont="1" applyFill="1" applyBorder="1" applyAlignment="1">
      <alignment vertical="center"/>
    </xf>
    <xf numFmtId="175" fontId="8" fillId="0" borderId="11" xfId="42" applyNumberFormat="1" applyFont="1" applyFill="1" applyBorder="1" applyAlignment="1">
      <alignment horizontal="right" vertical="center"/>
    </xf>
    <xf numFmtId="0" fontId="11" fillId="33" borderId="11" xfId="0" applyFont="1" applyFill="1" applyBorder="1" applyAlignment="1">
      <alignment vertical="center"/>
    </xf>
    <xf numFmtId="2" fontId="11" fillId="33" borderId="11" xfId="0" applyNumberFormat="1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172" fontId="8" fillId="33" borderId="11" xfId="42" applyNumberFormat="1" applyFont="1" applyFill="1" applyBorder="1" applyAlignment="1">
      <alignment horizontal="right" vertical="center"/>
    </xf>
    <xf numFmtId="0" fontId="17" fillId="0" borderId="12" xfId="0" applyFont="1" applyFill="1" applyBorder="1" applyAlignment="1">
      <alignment horizontal="center" vertical="center"/>
    </xf>
    <xf numFmtId="2" fontId="11" fillId="0" borderId="12" xfId="0" applyNumberFormat="1" applyFont="1" applyFill="1" applyBorder="1" applyAlignment="1">
      <alignment vertical="center"/>
    </xf>
    <xf numFmtId="2" fontId="19" fillId="0" borderId="12" xfId="0" applyNumberFormat="1" applyFont="1" applyFill="1" applyBorder="1" applyAlignment="1">
      <alignment vertical="center"/>
    </xf>
    <xf numFmtId="172" fontId="17" fillId="0" borderId="12" xfId="42" applyNumberFormat="1" applyFont="1" applyFill="1" applyBorder="1" applyAlignment="1">
      <alignment vertical="center"/>
    </xf>
    <xf numFmtId="2" fontId="17" fillId="0" borderId="12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vertical="center" wrapText="1"/>
    </xf>
    <xf numFmtId="174" fontId="5" fillId="0" borderId="15" xfId="0" applyNumberFormat="1" applyFont="1" applyFill="1" applyBorder="1" applyAlignment="1">
      <alignment vertical="center"/>
    </xf>
    <xf numFmtId="0" fontId="11" fillId="0" borderId="13" xfId="42" applyNumberFormat="1" applyFont="1" applyFill="1" applyBorder="1" applyAlignment="1">
      <alignment vertical="center"/>
    </xf>
    <xf numFmtId="0" fontId="17" fillId="0" borderId="13" xfId="42" applyNumberFormat="1" applyFont="1" applyFill="1" applyBorder="1" applyAlignment="1">
      <alignment vertical="center"/>
    </xf>
    <xf numFmtId="0" fontId="17" fillId="0" borderId="13" xfId="42" applyNumberFormat="1" applyFont="1" applyFill="1" applyBorder="1" applyAlignment="1">
      <alignment vertical="center"/>
    </xf>
    <xf numFmtId="0" fontId="11" fillId="0" borderId="11" xfId="42" applyNumberFormat="1" applyFont="1" applyFill="1" applyBorder="1" applyAlignment="1">
      <alignment vertical="center"/>
    </xf>
    <xf numFmtId="0" fontId="3" fillId="0" borderId="11" xfId="42" applyNumberFormat="1" applyFont="1" applyFill="1" applyBorder="1" applyAlignment="1">
      <alignment vertical="center"/>
    </xf>
    <xf numFmtId="0" fontId="3" fillId="0" borderId="11" xfId="42" applyNumberFormat="1" applyFont="1" applyFill="1" applyBorder="1" applyAlignment="1">
      <alignment vertical="center"/>
    </xf>
    <xf numFmtId="0" fontId="11" fillId="33" borderId="11" xfId="42" applyNumberFormat="1" applyFont="1" applyFill="1" applyBorder="1" applyAlignment="1">
      <alignment vertical="center"/>
    </xf>
    <xf numFmtId="0" fontId="3" fillId="33" borderId="11" xfId="42" applyNumberFormat="1" applyFont="1" applyFill="1" applyBorder="1" applyAlignment="1">
      <alignment vertical="center"/>
    </xf>
    <xf numFmtId="0" fontId="3" fillId="33" borderId="11" xfId="42" applyNumberFormat="1" applyFont="1" applyFill="1" applyBorder="1" applyAlignment="1">
      <alignment vertical="center"/>
    </xf>
    <xf numFmtId="0" fontId="11" fillId="0" borderId="12" xfId="42" applyNumberFormat="1" applyFont="1" applyFill="1" applyBorder="1" applyAlignment="1">
      <alignment vertical="center"/>
    </xf>
    <xf numFmtId="0" fontId="17" fillId="0" borderId="12" xfId="42" applyNumberFormat="1" applyFont="1" applyFill="1" applyBorder="1" applyAlignment="1">
      <alignment vertical="center"/>
    </xf>
    <xf numFmtId="0" fontId="17" fillId="0" borderId="12" xfId="42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2" fontId="10" fillId="0" borderId="13" xfId="0" applyNumberFormat="1" applyFont="1" applyFill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172" fontId="3" fillId="0" borderId="13" xfId="42" applyNumberFormat="1" applyFont="1" applyFill="1" applyBorder="1" applyAlignment="1">
      <alignment vertical="center"/>
    </xf>
    <xf numFmtId="2" fontId="2" fillId="0" borderId="13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172" fontId="3" fillId="0" borderId="13" xfId="42" applyNumberFormat="1" applyFont="1" applyFill="1" applyBorder="1" applyAlignment="1">
      <alignment vertical="center"/>
    </xf>
    <xf numFmtId="2" fontId="2" fillId="0" borderId="13" xfId="0" applyNumberFormat="1" applyFont="1" applyFill="1" applyBorder="1" applyAlignment="1">
      <alignment vertical="center"/>
    </xf>
    <xf numFmtId="172" fontId="3" fillId="0" borderId="13" xfId="42" applyNumberFormat="1" applyFont="1" applyFill="1" applyBorder="1" applyAlignment="1">
      <alignment horizontal="right" vertical="center"/>
    </xf>
    <xf numFmtId="173" fontId="3" fillId="0" borderId="13" xfId="6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 vertical="center"/>
    </xf>
    <xf numFmtId="171" fontId="3" fillId="0" borderId="11" xfId="42" applyFont="1" applyBorder="1" applyAlignment="1">
      <alignment vertical="center"/>
    </xf>
    <xf numFmtId="2" fontId="2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173" fontId="3" fillId="0" borderId="11" xfId="60" applyNumberFormat="1" applyFont="1" applyBorder="1" applyAlignment="1">
      <alignment vertical="center"/>
    </xf>
    <xf numFmtId="4" fontId="2" fillId="0" borderId="11" xfId="0" applyNumberFormat="1" applyFont="1" applyFill="1" applyBorder="1" applyAlignment="1">
      <alignment vertical="center"/>
    </xf>
    <xf numFmtId="4" fontId="3" fillId="0" borderId="11" xfId="0" applyNumberFormat="1" applyFont="1" applyFill="1" applyBorder="1" applyAlignment="1">
      <alignment vertical="center"/>
    </xf>
    <xf numFmtId="171" fontId="3" fillId="0" borderId="11" xfId="42" applyFont="1" applyFill="1" applyBorder="1" applyAlignment="1">
      <alignment vertical="center"/>
    </xf>
    <xf numFmtId="173" fontId="3" fillId="0" borderId="11" xfId="60" applyNumberFormat="1" applyFont="1" applyFill="1" applyBorder="1" applyAlignment="1">
      <alignment vertical="center"/>
    </xf>
    <xf numFmtId="2" fontId="9" fillId="0" borderId="11" xfId="0" applyNumberFormat="1" applyFont="1" applyFill="1" applyBorder="1" applyAlignment="1">
      <alignment vertical="center"/>
    </xf>
    <xf numFmtId="172" fontId="8" fillId="0" borderId="11" xfId="42" applyNumberFormat="1" applyFont="1" applyFill="1" applyBorder="1" applyAlignment="1">
      <alignment vertical="center"/>
    </xf>
    <xf numFmtId="173" fontId="8" fillId="0" borderId="11" xfId="60" applyNumberFormat="1" applyFont="1" applyFill="1" applyBorder="1" applyAlignment="1">
      <alignment vertical="center"/>
    </xf>
    <xf numFmtId="2" fontId="9" fillId="0" borderId="11" xfId="0" applyNumberFormat="1" applyFont="1" applyBorder="1" applyAlignment="1">
      <alignment vertical="center"/>
    </xf>
    <xf numFmtId="173" fontId="8" fillId="0" borderId="11" xfId="60" applyNumberFormat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2" fontId="5" fillId="0" borderId="11" xfId="0" applyNumberFormat="1" applyFont="1" applyBorder="1" applyAlignment="1">
      <alignment vertical="center"/>
    </xf>
    <xf numFmtId="9" fontId="8" fillId="0" borderId="11" xfId="60" applyFont="1" applyBorder="1" applyAlignment="1">
      <alignment vertical="center"/>
    </xf>
    <xf numFmtId="0" fontId="11" fillId="0" borderId="0" xfId="0" applyFont="1" applyFill="1" applyAlignment="1">
      <alignment vertical="center"/>
    </xf>
    <xf numFmtId="9" fontId="3" fillId="0" borderId="11" xfId="60" applyFont="1" applyFill="1" applyBorder="1" applyAlignment="1">
      <alignment vertical="center"/>
    </xf>
    <xf numFmtId="9" fontId="8" fillId="0" borderId="11" xfId="60" applyFont="1" applyFill="1" applyBorder="1" applyAlignment="1">
      <alignment vertical="center"/>
    </xf>
    <xf numFmtId="4" fontId="2" fillId="0" borderId="11" xfId="0" applyNumberFormat="1" applyFont="1" applyFill="1" applyBorder="1" applyAlignment="1">
      <alignment vertical="center"/>
    </xf>
    <xf numFmtId="2" fontId="3" fillId="0" borderId="11" xfId="0" applyNumberFormat="1" applyFont="1" applyFill="1" applyBorder="1" applyAlignment="1">
      <alignment vertical="center"/>
    </xf>
    <xf numFmtId="171" fontId="3" fillId="0" borderId="11" xfId="42" applyFont="1" applyFill="1" applyBorder="1" applyAlignment="1">
      <alignment vertical="center"/>
    </xf>
    <xf numFmtId="171" fontId="2" fillId="0" borderId="11" xfId="42" applyFont="1" applyFill="1" applyBorder="1" applyAlignment="1">
      <alignment vertical="center"/>
    </xf>
    <xf numFmtId="2" fontId="11" fillId="0" borderId="12" xfId="0" applyNumberFormat="1" applyFont="1" applyFill="1" applyBorder="1" applyAlignment="1">
      <alignment vertical="center"/>
    </xf>
    <xf numFmtId="4" fontId="2" fillId="0" borderId="17" xfId="0" applyNumberFormat="1" applyFont="1" applyBorder="1" applyAlignment="1">
      <alignment vertical="center"/>
    </xf>
    <xf numFmtId="4" fontId="3" fillId="0" borderId="17" xfId="0" applyNumberFormat="1" applyFont="1" applyBorder="1" applyAlignment="1">
      <alignment vertical="center"/>
    </xf>
    <xf numFmtId="171" fontId="3" fillId="0" borderId="17" xfId="42" applyFont="1" applyBorder="1" applyAlignment="1">
      <alignment vertical="center"/>
    </xf>
    <xf numFmtId="172" fontId="3" fillId="0" borderId="12" xfId="42" applyNumberFormat="1" applyFont="1" applyFill="1" applyBorder="1" applyAlignment="1">
      <alignment vertical="center"/>
    </xf>
    <xf numFmtId="2" fontId="2" fillId="0" borderId="12" xfId="0" applyNumberFormat="1" applyFont="1" applyFill="1" applyBorder="1" applyAlignment="1">
      <alignment vertical="center"/>
    </xf>
    <xf numFmtId="2" fontId="3" fillId="0" borderId="12" xfId="0" applyNumberFormat="1" applyFont="1" applyFill="1" applyBorder="1" applyAlignment="1">
      <alignment vertical="center"/>
    </xf>
    <xf numFmtId="172" fontId="3" fillId="0" borderId="12" xfId="42" applyNumberFormat="1" applyFont="1" applyFill="1" applyBorder="1" applyAlignment="1">
      <alignment vertical="center"/>
    </xf>
    <xf numFmtId="2" fontId="2" fillId="0" borderId="12" xfId="0" applyNumberFormat="1" applyFont="1" applyFill="1" applyBorder="1" applyAlignment="1">
      <alignment vertical="center"/>
    </xf>
    <xf numFmtId="2" fontId="3" fillId="0" borderId="12" xfId="0" applyNumberFormat="1" applyFont="1" applyFill="1" applyBorder="1" applyAlignment="1">
      <alignment vertical="center"/>
    </xf>
    <xf numFmtId="9" fontId="3" fillId="0" borderId="17" xfId="60" applyFont="1" applyFill="1" applyBorder="1" applyAlignment="1">
      <alignment vertical="center"/>
    </xf>
    <xf numFmtId="0" fontId="3" fillId="0" borderId="12" xfId="0" applyFont="1" applyFill="1" applyBorder="1" applyAlignment="1">
      <alignment vertical="center" wrapText="1"/>
    </xf>
    <xf numFmtId="0" fontId="5" fillId="0" borderId="15" xfId="0" applyFont="1" applyBorder="1" applyAlignment="1">
      <alignment vertical="center"/>
    </xf>
    <xf numFmtId="2" fontId="5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172" fontId="9" fillId="0" borderId="12" xfId="42" applyNumberFormat="1" applyFont="1" applyBorder="1" applyAlignment="1">
      <alignment vertical="center"/>
    </xf>
    <xf numFmtId="174" fontId="9" fillId="0" borderId="15" xfId="0" applyNumberFormat="1" applyFont="1" applyBorder="1" applyAlignment="1">
      <alignment vertical="center"/>
    </xf>
    <xf numFmtId="2" fontId="9" fillId="0" borderId="15" xfId="0" applyNumberFormat="1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172" fontId="12" fillId="0" borderId="15" xfId="42" applyNumberFormat="1" applyFont="1" applyBorder="1" applyAlignment="1">
      <alignment vertical="center"/>
    </xf>
    <xf numFmtId="173" fontId="9" fillId="0" borderId="10" xfId="60" applyNumberFormat="1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4" fontId="3" fillId="0" borderId="13" xfId="0" applyNumberFormat="1" applyFont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173" fontId="3" fillId="0" borderId="11" xfId="60" applyNumberFormat="1" applyFont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173" fontId="3" fillId="0" borderId="11" xfId="6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11" xfId="0" applyFont="1" applyBorder="1" applyAlignment="1">
      <alignment vertical="center"/>
    </xf>
    <xf numFmtId="2" fontId="3" fillId="0" borderId="11" xfId="0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173" fontId="3" fillId="0" borderId="12" xfId="60" applyNumberFormat="1" applyFont="1" applyFill="1" applyBorder="1" applyAlignment="1">
      <alignment vertical="center"/>
    </xf>
    <xf numFmtId="0" fontId="16" fillId="0" borderId="1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3" fontId="9" fillId="0" borderId="12" xfId="42" applyNumberFormat="1" applyFont="1" applyBorder="1" applyAlignment="1">
      <alignment vertical="center"/>
    </xf>
    <xf numFmtId="3" fontId="3" fillId="0" borderId="13" xfId="0" applyNumberFormat="1" applyFont="1" applyFill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3" fontId="3" fillId="0" borderId="12" xfId="0" applyNumberFormat="1" applyFont="1" applyFill="1" applyBorder="1" applyAlignment="1">
      <alignment vertical="center"/>
    </xf>
    <xf numFmtId="3" fontId="12" fillId="0" borderId="15" xfId="42" applyNumberFormat="1" applyFont="1" applyBorder="1" applyAlignment="1">
      <alignment vertical="center"/>
    </xf>
    <xf numFmtId="1" fontId="3" fillId="0" borderId="11" xfId="0" applyNumberFormat="1" applyFont="1" applyFill="1" applyBorder="1" applyAlignment="1">
      <alignment vertical="center"/>
    </xf>
    <xf numFmtId="1" fontId="3" fillId="0" borderId="12" xfId="0" applyNumberFormat="1" applyFont="1" applyFill="1" applyBorder="1" applyAlignment="1">
      <alignment vertical="center"/>
    </xf>
    <xf numFmtId="1" fontId="3" fillId="0" borderId="12" xfId="0" applyNumberFormat="1" applyFont="1" applyFill="1" applyBorder="1" applyAlignment="1">
      <alignment vertical="center"/>
    </xf>
    <xf numFmtId="1" fontId="2" fillId="0" borderId="11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 vertical="center"/>
    </xf>
    <xf numFmtId="3" fontId="3" fillId="0" borderId="11" xfId="42" applyNumberFormat="1" applyFont="1" applyFill="1" applyBorder="1" applyAlignment="1">
      <alignment vertical="center"/>
    </xf>
    <xf numFmtId="3" fontId="3" fillId="0" borderId="12" xfId="42" applyNumberFormat="1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vertical="center"/>
    </xf>
    <xf numFmtId="0" fontId="3" fillId="0" borderId="11" xfId="42" applyNumberFormat="1" applyFont="1" applyBorder="1" applyAlignment="1">
      <alignment vertical="center"/>
    </xf>
    <xf numFmtId="0" fontId="3" fillId="0" borderId="12" xfId="42" applyNumberFormat="1" applyFont="1" applyBorder="1" applyAlignment="1">
      <alignment vertical="center"/>
    </xf>
    <xf numFmtId="3" fontId="3" fillId="0" borderId="13" xfId="42" applyNumberFormat="1" applyFont="1" applyFill="1" applyBorder="1" applyAlignment="1">
      <alignment vertical="center"/>
    </xf>
    <xf numFmtId="174" fontId="5" fillId="0" borderId="10" xfId="42" applyNumberFormat="1" applyFont="1" applyFill="1" applyBorder="1" applyAlignment="1">
      <alignment/>
    </xf>
    <xf numFmtId="0" fontId="1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6" fillId="0" borderId="14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" fontId="3" fillId="0" borderId="13" xfId="0" applyNumberFormat="1" applyFont="1" applyFill="1" applyBorder="1" applyAlignment="1">
      <alignment vertical="center"/>
    </xf>
    <xf numFmtId="0" fontId="8" fillId="0" borderId="11" xfId="0" applyFont="1" applyFill="1" applyBorder="1" applyAlignment="1" quotePrefix="1">
      <alignment vertical="center" wrapText="1"/>
    </xf>
    <xf numFmtId="2" fontId="11" fillId="0" borderId="0" xfId="0" applyNumberFormat="1" applyFont="1" applyFill="1" applyAlignment="1">
      <alignment horizontal="center"/>
    </xf>
    <xf numFmtId="3" fontId="4" fillId="0" borderId="11" xfId="0" applyNumberFormat="1" applyFont="1" applyFill="1" applyBorder="1" applyAlignment="1">
      <alignment vertical="center"/>
    </xf>
    <xf numFmtId="2" fontId="9" fillId="0" borderId="11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/>
    </xf>
    <xf numFmtId="4" fontId="3" fillId="0" borderId="12" xfId="0" applyNumberFormat="1" applyFont="1" applyFill="1" applyBorder="1" applyAlignment="1">
      <alignment vertical="center"/>
    </xf>
    <xf numFmtId="0" fontId="3" fillId="0" borderId="12" xfId="42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3" fontId="9" fillId="0" borderId="12" xfId="42" applyNumberFormat="1" applyFont="1" applyFill="1" applyBorder="1" applyAlignment="1">
      <alignment vertical="center"/>
    </xf>
    <xf numFmtId="3" fontId="12" fillId="0" borderId="15" xfId="42" applyNumberFormat="1" applyFont="1" applyFill="1" applyBorder="1" applyAlignment="1">
      <alignment vertical="center"/>
    </xf>
    <xf numFmtId="173" fontId="9" fillId="0" borderId="10" xfId="60" applyNumberFormat="1" applyFont="1" applyFill="1" applyBorder="1" applyAlignment="1">
      <alignment vertical="center"/>
    </xf>
    <xf numFmtId="2" fontId="63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Alignment="1" quotePrefix="1">
      <alignment/>
    </xf>
    <xf numFmtId="0" fontId="8" fillId="35" borderId="10" xfId="0" applyFont="1" applyFill="1" applyBorder="1" applyAlignment="1">
      <alignment horizontal="center" vertical="center" wrapText="1"/>
    </xf>
    <xf numFmtId="0" fontId="16" fillId="35" borderId="16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vertical="center"/>
    </xf>
    <xf numFmtId="0" fontId="3" fillId="35" borderId="13" xfId="0" applyFont="1" applyFill="1" applyBorder="1" applyAlignment="1">
      <alignment vertical="center"/>
    </xf>
    <xf numFmtId="3" fontId="3" fillId="35" borderId="13" xfId="0" applyNumberFormat="1" applyFont="1" applyFill="1" applyBorder="1" applyAlignment="1">
      <alignment vertical="center"/>
    </xf>
    <xf numFmtId="0" fontId="5" fillId="35" borderId="11" xfId="0" applyFont="1" applyFill="1" applyBorder="1" applyAlignment="1">
      <alignment vertical="center"/>
    </xf>
    <xf numFmtId="0" fontId="4" fillId="35" borderId="11" xfId="0" applyFont="1" applyFill="1" applyBorder="1" applyAlignment="1">
      <alignment vertical="center"/>
    </xf>
    <xf numFmtId="3" fontId="4" fillId="35" borderId="11" xfId="0" applyNumberFormat="1" applyFont="1" applyFill="1" applyBorder="1" applyAlignment="1">
      <alignment vertical="center"/>
    </xf>
    <xf numFmtId="0" fontId="2" fillId="35" borderId="11" xfId="0" applyFont="1" applyFill="1" applyBorder="1" applyAlignment="1">
      <alignment vertical="center"/>
    </xf>
    <xf numFmtId="0" fontId="3" fillId="35" borderId="11" xfId="0" applyFont="1" applyFill="1" applyBorder="1" applyAlignment="1">
      <alignment vertical="center"/>
    </xf>
    <xf numFmtId="3" fontId="3" fillId="35" borderId="11" xfId="0" applyNumberFormat="1" applyFont="1" applyFill="1" applyBorder="1" applyAlignment="1">
      <alignment vertical="center"/>
    </xf>
    <xf numFmtId="0" fontId="9" fillId="35" borderId="11" xfId="0" applyFont="1" applyFill="1" applyBorder="1" applyAlignment="1">
      <alignment vertical="center"/>
    </xf>
    <xf numFmtId="0" fontId="8" fillId="35" borderId="11" xfId="0" applyFont="1" applyFill="1" applyBorder="1" applyAlignment="1">
      <alignment vertical="center"/>
    </xf>
    <xf numFmtId="3" fontId="8" fillId="35" borderId="11" xfId="0" applyNumberFormat="1" applyFont="1" applyFill="1" applyBorder="1" applyAlignment="1">
      <alignment vertical="center"/>
    </xf>
    <xf numFmtId="1" fontId="2" fillId="35" borderId="11" xfId="0" applyNumberFormat="1" applyFont="1" applyFill="1" applyBorder="1" applyAlignment="1">
      <alignment vertical="center"/>
    </xf>
    <xf numFmtId="1" fontId="3" fillId="35" borderId="11" xfId="0" applyNumberFormat="1" applyFont="1" applyFill="1" applyBorder="1" applyAlignment="1">
      <alignment vertical="center"/>
    </xf>
    <xf numFmtId="2" fontId="2" fillId="35" borderId="12" xfId="0" applyNumberFormat="1" applyFont="1" applyFill="1" applyBorder="1" applyAlignment="1">
      <alignment vertical="center"/>
    </xf>
    <xf numFmtId="2" fontId="3" fillId="35" borderId="12" xfId="0" applyNumberFormat="1" applyFont="1" applyFill="1" applyBorder="1" applyAlignment="1">
      <alignment vertical="center"/>
    </xf>
    <xf numFmtId="1" fontId="3" fillId="35" borderId="12" xfId="0" applyNumberFormat="1" applyFont="1" applyFill="1" applyBorder="1" applyAlignment="1">
      <alignment vertical="center"/>
    </xf>
    <xf numFmtId="3" fontId="3" fillId="35" borderId="12" xfId="0" applyNumberFormat="1" applyFont="1" applyFill="1" applyBorder="1" applyAlignment="1">
      <alignment vertical="center"/>
    </xf>
    <xf numFmtId="174" fontId="9" fillId="35" borderId="15" xfId="0" applyNumberFormat="1" applyFont="1" applyFill="1" applyBorder="1" applyAlignment="1">
      <alignment vertical="center"/>
    </xf>
    <xf numFmtId="2" fontId="9" fillId="35" borderId="15" xfId="0" applyNumberFormat="1" applyFont="1" applyFill="1" applyBorder="1" applyAlignment="1">
      <alignment vertical="center"/>
    </xf>
    <xf numFmtId="0" fontId="9" fillId="35" borderId="15" xfId="0" applyFont="1" applyFill="1" applyBorder="1" applyAlignment="1">
      <alignment vertical="center"/>
    </xf>
    <xf numFmtId="3" fontId="12" fillId="35" borderId="15" xfId="42" applyNumberFormat="1" applyFont="1" applyFill="1" applyBorder="1" applyAlignment="1">
      <alignment vertical="center"/>
    </xf>
    <xf numFmtId="0" fontId="5" fillId="35" borderId="0" xfId="0" applyFont="1" applyFill="1" applyAlignment="1">
      <alignment/>
    </xf>
    <xf numFmtId="0" fontId="4" fillId="35" borderId="0" xfId="0" applyFont="1" applyFill="1" applyAlignment="1">
      <alignment/>
    </xf>
    <xf numFmtId="171" fontId="14" fillId="35" borderId="0" xfId="42" applyFont="1" applyFill="1" applyAlignment="1">
      <alignment/>
    </xf>
    <xf numFmtId="2" fontId="4" fillId="35" borderId="0" xfId="0" applyNumberFormat="1" applyFont="1" applyFill="1" applyAlignment="1">
      <alignment/>
    </xf>
    <xf numFmtId="0" fontId="8" fillId="0" borderId="19" xfId="0" applyFont="1" applyFill="1" applyBorder="1" applyAlignment="1" quotePrefix="1">
      <alignment vertical="center" wrapText="1"/>
    </xf>
    <xf numFmtId="0" fontId="16" fillId="0" borderId="10" xfId="0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vertical="center"/>
    </xf>
    <xf numFmtId="2" fontId="10" fillId="6" borderId="11" xfId="0" applyNumberFormat="1" applyFont="1" applyFill="1" applyBorder="1" applyAlignment="1">
      <alignment vertical="center"/>
    </xf>
    <xf numFmtId="0" fontId="11" fillId="6" borderId="11" xfId="0" applyFont="1" applyFill="1" applyBorder="1" applyAlignment="1">
      <alignment vertical="center"/>
    </xf>
    <xf numFmtId="4" fontId="3" fillId="6" borderId="11" xfId="0" applyNumberFormat="1" applyFont="1" applyFill="1" applyBorder="1" applyAlignment="1">
      <alignment vertical="center"/>
    </xf>
    <xf numFmtId="0" fontId="3" fillId="6" borderId="11" xfId="42" applyNumberFormat="1" applyFont="1" applyFill="1" applyBorder="1" applyAlignment="1">
      <alignment vertical="center"/>
    </xf>
    <xf numFmtId="3" fontId="3" fillId="6" borderId="11" xfId="42" applyNumberFormat="1" applyFont="1" applyFill="1" applyBorder="1" applyAlignment="1">
      <alignment vertical="center"/>
    </xf>
    <xf numFmtId="0" fontId="2" fillId="6" borderId="11" xfId="0" applyFont="1" applyFill="1" applyBorder="1" applyAlignment="1">
      <alignment vertical="center"/>
    </xf>
    <xf numFmtId="3" fontId="3" fillId="6" borderId="11" xfId="0" applyNumberFormat="1" applyFont="1" applyFill="1" applyBorder="1" applyAlignment="1">
      <alignment vertical="center"/>
    </xf>
    <xf numFmtId="173" fontId="3" fillId="6" borderId="11" xfId="60" applyNumberFormat="1" applyFont="1" applyFill="1" applyBorder="1" applyAlignment="1">
      <alignment vertical="center"/>
    </xf>
    <xf numFmtId="0" fontId="8" fillId="6" borderId="11" xfId="0" applyFont="1" applyFill="1" applyBorder="1" applyAlignment="1">
      <alignment vertical="center" wrapText="1"/>
    </xf>
    <xf numFmtId="0" fontId="4" fillId="6" borderId="0" xfId="0" applyFont="1" applyFill="1" applyAlignment="1">
      <alignment horizontal="center"/>
    </xf>
    <xf numFmtId="0" fontId="4" fillId="6" borderId="0" xfId="0" applyFont="1" applyFill="1" applyAlignment="1">
      <alignment/>
    </xf>
    <xf numFmtId="173" fontId="8" fillId="6" borderId="11" xfId="60" applyNumberFormat="1" applyFont="1" applyFill="1" applyBorder="1" applyAlignment="1">
      <alignment vertical="center"/>
    </xf>
    <xf numFmtId="0" fontId="11" fillId="6" borderId="0" xfId="0" applyFont="1" applyFill="1" applyAlignment="1">
      <alignment horizontal="center"/>
    </xf>
    <xf numFmtId="0" fontId="11" fillId="6" borderId="0" xfId="0" applyFont="1" applyFill="1" applyAlignment="1">
      <alignment/>
    </xf>
    <xf numFmtId="0" fontId="3" fillId="12" borderId="12" xfId="0" applyFont="1" applyFill="1" applyBorder="1" applyAlignment="1">
      <alignment horizontal="center" vertical="center"/>
    </xf>
    <xf numFmtId="0" fontId="3" fillId="12" borderId="12" xfId="0" applyFont="1" applyFill="1" applyBorder="1" applyAlignment="1">
      <alignment vertical="center"/>
    </xf>
    <xf numFmtId="2" fontId="10" fillId="12" borderId="12" xfId="0" applyNumberFormat="1" applyFont="1" applyFill="1" applyBorder="1" applyAlignment="1">
      <alignment vertical="center"/>
    </xf>
    <xf numFmtId="2" fontId="11" fillId="12" borderId="12" xfId="0" applyNumberFormat="1" applyFont="1" applyFill="1" applyBorder="1" applyAlignment="1">
      <alignment vertical="center"/>
    </xf>
    <xf numFmtId="4" fontId="3" fillId="12" borderId="12" xfId="0" applyNumberFormat="1" applyFont="1" applyFill="1" applyBorder="1" applyAlignment="1">
      <alignment vertical="center"/>
    </xf>
    <xf numFmtId="0" fontId="3" fillId="12" borderId="12" xfId="42" applyNumberFormat="1" applyFont="1" applyFill="1" applyBorder="1" applyAlignment="1">
      <alignment vertical="center"/>
    </xf>
    <xf numFmtId="3" fontId="3" fillId="12" borderId="12" xfId="42" applyNumberFormat="1" applyFont="1" applyFill="1" applyBorder="1" applyAlignment="1">
      <alignment vertical="center"/>
    </xf>
    <xf numFmtId="2" fontId="2" fillId="12" borderId="12" xfId="0" applyNumberFormat="1" applyFont="1" applyFill="1" applyBorder="1" applyAlignment="1">
      <alignment vertical="center"/>
    </xf>
    <xf numFmtId="2" fontId="3" fillId="12" borderId="12" xfId="0" applyNumberFormat="1" applyFont="1" applyFill="1" applyBorder="1" applyAlignment="1">
      <alignment vertical="center"/>
    </xf>
    <xf numFmtId="1" fontId="3" fillId="12" borderId="12" xfId="0" applyNumberFormat="1" applyFont="1" applyFill="1" applyBorder="1" applyAlignment="1">
      <alignment vertical="center"/>
    </xf>
    <xf numFmtId="3" fontId="3" fillId="12" borderId="12" xfId="0" applyNumberFormat="1" applyFont="1" applyFill="1" applyBorder="1" applyAlignment="1">
      <alignment vertical="center"/>
    </xf>
    <xf numFmtId="2" fontId="2" fillId="12" borderId="12" xfId="0" applyNumberFormat="1" applyFont="1" applyFill="1" applyBorder="1" applyAlignment="1">
      <alignment vertical="center"/>
    </xf>
    <xf numFmtId="2" fontId="3" fillId="12" borderId="12" xfId="0" applyNumberFormat="1" applyFont="1" applyFill="1" applyBorder="1" applyAlignment="1">
      <alignment vertical="center"/>
    </xf>
    <xf numFmtId="1" fontId="3" fillId="12" borderId="12" xfId="0" applyNumberFormat="1" applyFont="1" applyFill="1" applyBorder="1" applyAlignment="1">
      <alignment vertical="center"/>
    </xf>
    <xf numFmtId="3" fontId="3" fillId="12" borderId="12" xfId="0" applyNumberFormat="1" applyFont="1" applyFill="1" applyBorder="1" applyAlignment="1">
      <alignment vertical="center"/>
    </xf>
    <xf numFmtId="173" fontId="3" fillId="12" borderId="12" xfId="60" applyNumberFormat="1" applyFont="1" applyFill="1" applyBorder="1" applyAlignment="1">
      <alignment vertical="center"/>
    </xf>
    <xf numFmtId="0" fontId="3" fillId="12" borderId="12" xfId="0" applyFont="1" applyFill="1" applyBorder="1" applyAlignment="1">
      <alignment vertical="center" wrapText="1"/>
    </xf>
    <xf numFmtId="2" fontId="11" fillId="12" borderId="0" xfId="0" applyNumberFormat="1" applyFont="1" applyFill="1" applyAlignment="1">
      <alignment horizontal="center"/>
    </xf>
    <xf numFmtId="0" fontId="11" fillId="12" borderId="0" xfId="0" applyFont="1" applyFill="1" applyAlignment="1">
      <alignment/>
    </xf>
    <xf numFmtId="0" fontId="4" fillId="0" borderId="0" xfId="0" applyFont="1" applyFill="1" applyBorder="1" applyAlignment="1">
      <alignment horizontal="left"/>
    </xf>
    <xf numFmtId="0" fontId="11" fillId="23" borderId="0" xfId="0" applyFont="1" applyFill="1" applyAlignment="1">
      <alignment/>
    </xf>
    <xf numFmtId="0" fontId="4" fillId="23" borderId="0" xfId="0" applyFont="1" applyFill="1" applyAlignment="1">
      <alignment/>
    </xf>
    <xf numFmtId="0" fontId="8" fillId="36" borderId="10" xfId="0" applyFont="1" applyFill="1" applyBorder="1" applyAlignment="1">
      <alignment horizontal="center" vertical="center" wrapText="1"/>
    </xf>
    <xf numFmtId="0" fontId="16" fillId="36" borderId="16" xfId="0" applyFont="1" applyFill="1" applyBorder="1" applyAlignment="1">
      <alignment horizontal="center" vertical="center" wrapText="1"/>
    </xf>
    <xf numFmtId="2" fontId="2" fillId="36" borderId="13" xfId="0" applyNumberFormat="1" applyFont="1" applyFill="1" applyBorder="1" applyAlignment="1">
      <alignment vertical="center"/>
    </xf>
    <xf numFmtId="0" fontId="3" fillId="36" borderId="13" xfId="0" applyFont="1" applyFill="1" applyBorder="1" applyAlignment="1">
      <alignment vertical="center"/>
    </xf>
    <xf numFmtId="3" fontId="3" fillId="36" borderId="13" xfId="0" applyNumberFormat="1" applyFont="1" applyFill="1" applyBorder="1" applyAlignment="1">
      <alignment vertical="center"/>
    </xf>
    <xf numFmtId="2" fontId="9" fillId="36" borderId="11" xfId="0" applyNumberFormat="1" applyFont="1" applyFill="1" applyBorder="1" applyAlignment="1">
      <alignment vertical="center"/>
    </xf>
    <xf numFmtId="0" fontId="4" fillId="36" borderId="11" xfId="0" applyFont="1" applyFill="1" applyBorder="1" applyAlignment="1">
      <alignment vertical="center"/>
    </xf>
    <xf numFmtId="3" fontId="4" fillId="36" borderId="11" xfId="0" applyNumberFormat="1" applyFont="1" applyFill="1" applyBorder="1" applyAlignment="1">
      <alignment vertical="center"/>
    </xf>
    <xf numFmtId="0" fontId="2" fillId="36" borderId="11" xfId="0" applyFont="1" applyFill="1" applyBorder="1" applyAlignment="1">
      <alignment vertical="center"/>
    </xf>
    <xf numFmtId="0" fontId="3" fillId="36" borderId="11" xfId="0" applyFont="1" applyFill="1" applyBorder="1" applyAlignment="1">
      <alignment vertical="center"/>
    </xf>
    <xf numFmtId="3" fontId="3" fillId="36" borderId="11" xfId="0" applyNumberFormat="1" applyFont="1" applyFill="1" applyBorder="1" applyAlignment="1">
      <alignment vertical="center"/>
    </xf>
    <xf numFmtId="0" fontId="9" fillId="36" borderId="11" xfId="0" applyFont="1" applyFill="1" applyBorder="1" applyAlignment="1">
      <alignment vertical="center"/>
    </xf>
    <xf numFmtId="0" fontId="8" fillId="36" borderId="11" xfId="0" applyFont="1" applyFill="1" applyBorder="1" applyAlignment="1">
      <alignment vertical="center"/>
    </xf>
    <xf numFmtId="3" fontId="8" fillId="36" borderId="11" xfId="0" applyNumberFormat="1" applyFont="1" applyFill="1" applyBorder="1" applyAlignment="1">
      <alignment vertical="center"/>
    </xf>
    <xf numFmtId="2" fontId="2" fillId="36" borderId="11" xfId="0" applyNumberFormat="1" applyFont="1" applyFill="1" applyBorder="1" applyAlignment="1">
      <alignment vertical="center"/>
    </xf>
    <xf numFmtId="2" fontId="3" fillId="36" borderId="11" xfId="0" applyNumberFormat="1" applyFont="1" applyFill="1" applyBorder="1" applyAlignment="1">
      <alignment vertical="center"/>
    </xf>
    <xf numFmtId="1" fontId="3" fillId="36" borderId="11" xfId="0" applyNumberFormat="1" applyFont="1" applyFill="1" applyBorder="1" applyAlignment="1">
      <alignment vertical="center"/>
    </xf>
    <xf numFmtId="2" fontId="2" fillId="36" borderId="12" xfId="0" applyNumberFormat="1" applyFont="1" applyFill="1" applyBorder="1" applyAlignment="1">
      <alignment vertical="center"/>
    </xf>
    <xf numFmtId="2" fontId="3" fillId="36" borderId="12" xfId="0" applyNumberFormat="1" applyFont="1" applyFill="1" applyBorder="1" applyAlignment="1">
      <alignment vertical="center"/>
    </xf>
    <xf numFmtId="1" fontId="3" fillId="36" borderId="12" xfId="0" applyNumberFormat="1" applyFont="1" applyFill="1" applyBorder="1" applyAlignment="1">
      <alignment vertical="center"/>
    </xf>
    <xf numFmtId="3" fontId="3" fillId="36" borderId="12" xfId="0" applyNumberFormat="1" applyFont="1" applyFill="1" applyBorder="1" applyAlignment="1">
      <alignment vertical="center"/>
    </xf>
    <xf numFmtId="174" fontId="9" fillId="36" borderId="15" xfId="0" applyNumberFormat="1" applyFont="1" applyFill="1" applyBorder="1" applyAlignment="1">
      <alignment vertical="center"/>
    </xf>
    <xf numFmtId="2" fontId="9" fillId="36" borderId="15" xfId="0" applyNumberFormat="1" applyFont="1" applyFill="1" applyBorder="1" applyAlignment="1">
      <alignment vertical="center"/>
    </xf>
    <xf numFmtId="0" fontId="9" fillId="36" borderId="15" xfId="0" applyFont="1" applyFill="1" applyBorder="1" applyAlignment="1">
      <alignment vertical="center"/>
    </xf>
    <xf numFmtId="3" fontId="12" fillId="36" borderId="15" xfId="42" applyNumberFormat="1" applyFont="1" applyFill="1" applyBorder="1" applyAlignment="1">
      <alignment vertical="center"/>
    </xf>
    <xf numFmtId="2" fontId="5" fillId="0" borderId="0" xfId="0" applyNumberFormat="1" applyFont="1" applyFill="1" applyAlignment="1">
      <alignment/>
    </xf>
    <xf numFmtId="0" fontId="3" fillId="0" borderId="13" xfId="60" applyNumberFormat="1" applyFont="1" applyFill="1" applyBorder="1" applyAlignment="1">
      <alignment vertical="center"/>
    </xf>
    <xf numFmtId="0" fontId="3" fillId="0" borderId="11" xfId="60" applyNumberFormat="1" applyFont="1" applyFill="1" applyBorder="1" applyAlignment="1">
      <alignment vertical="center"/>
    </xf>
    <xf numFmtId="0" fontId="8" fillId="0" borderId="11" xfId="60" applyNumberFormat="1" applyFont="1" applyFill="1" applyBorder="1" applyAlignment="1">
      <alignment vertical="center"/>
    </xf>
    <xf numFmtId="0" fontId="3" fillId="0" borderId="12" xfId="60" applyNumberFormat="1" applyFont="1" applyFill="1" applyBorder="1" applyAlignment="1">
      <alignment vertical="center"/>
    </xf>
    <xf numFmtId="4" fontId="12" fillId="0" borderId="15" xfId="42" applyNumberFormat="1" applyFont="1" applyFill="1" applyBorder="1" applyAlignment="1">
      <alignment vertical="center"/>
    </xf>
    <xf numFmtId="0" fontId="3" fillId="36" borderId="13" xfId="60" applyNumberFormat="1" applyFont="1" applyFill="1" applyBorder="1" applyAlignment="1">
      <alignment vertical="center"/>
    </xf>
    <xf numFmtId="2" fontId="11" fillId="36" borderId="0" xfId="0" applyNumberFormat="1" applyFont="1" applyFill="1" applyAlignment="1">
      <alignment horizontal="center"/>
    </xf>
    <xf numFmtId="0" fontId="11" fillId="36" borderId="0" xfId="0" applyFont="1" applyFill="1" applyAlignment="1">
      <alignment/>
    </xf>
    <xf numFmtId="0" fontId="11" fillId="36" borderId="0" xfId="0" applyFont="1" applyFill="1" applyAlignment="1">
      <alignment/>
    </xf>
    <xf numFmtId="0" fontId="8" fillId="36" borderId="11" xfId="60" applyNumberFormat="1" applyFont="1" applyFill="1" applyBorder="1" applyAlignment="1">
      <alignment vertical="center"/>
    </xf>
    <xf numFmtId="0" fontId="4" fillId="36" borderId="0" xfId="0" applyFont="1" applyFill="1" applyAlignment="1">
      <alignment/>
    </xf>
    <xf numFmtId="0" fontId="3" fillId="36" borderId="11" xfId="6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171" fontId="12" fillId="0" borderId="0" xfId="42" applyFont="1" applyFill="1" applyAlignment="1">
      <alignment/>
    </xf>
    <xf numFmtId="172" fontId="8" fillId="0" borderId="0" xfId="0" applyNumberFormat="1" applyFont="1" applyFill="1" applyAlignment="1">
      <alignment/>
    </xf>
    <xf numFmtId="4" fontId="4" fillId="0" borderId="0" xfId="0" applyNumberFormat="1" applyFont="1" applyFill="1" applyBorder="1" applyAlignment="1">
      <alignment horizontal="center"/>
    </xf>
    <xf numFmtId="0" fontId="8" fillId="6" borderId="11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vertical="center"/>
    </xf>
    <xf numFmtId="2" fontId="5" fillId="6" borderId="11" xfId="0" applyNumberFormat="1" applyFont="1" applyFill="1" applyBorder="1" applyAlignment="1">
      <alignment vertical="center"/>
    </xf>
    <xf numFmtId="0" fontId="4" fillId="6" borderId="11" xfId="0" applyFont="1" applyFill="1" applyBorder="1" applyAlignment="1">
      <alignment vertical="center"/>
    </xf>
    <xf numFmtId="0" fontId="9" fillId="6" borderId="11" xfId="0" applyFont="1" applyFill="1" applyBorder="1" applyAlignment="1">
      <alignment vertical="center"/>
    </xf>
    <xf numFmtId="3" fontId="8" fillId="6" borderId="11" xfId="0" applyNumberFormat="1" applyFont="1" applyFill="1" applyBorder="1" applyAlignment="1">
      <alignment vertical="center"/>
    </xf>
    <xf numFmtId="0" fontId="8" fillId="6" borderId="11" xfId="0" applyFont="1" applyFill="1" applyBorder="1" applyAlignment="1" quotePrefix="1">
      <alignment vertical="center" wrapText="1"/>
    </xf>
    <xf numFmtId="0" fontId="3" fillId="6" borderId="11" xfId="0" applyFont="1" applyFill="1" applyBorder="1" applyAlignment="1">
      <alignment vertical="center" wrapText="1"/>
    </xf>
    <xf numFmtId="0" fontId="3" fillId="6" borderId="12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vertical="center"/>
    </xf>
    <xf numFmtId="2" fontId="10" fillId="6" borderId="12" xfId="0" applyNumberFormat="1" applyFont="1" applyFill="1" applyBorder="1" applyAlignment="1">
      <alignment vertical="center"/>
    </xf>
    <xf numFmtId="2" fontId="11" fillId="6" borderId="12" xfId="0" applyNumberFormat="1" applyFont="1" applyFill="1" applyBorder="1" applyAlignment="1">
      <alignment vertical="center"/>
    </xf>
    <xf numFmtId="4" fontId="3" fillId="6" borderId="12" xfId="0" applyNumberFormat="1" applyFont="1" applyFill="1" applyBorder="1" applyAlignment="1">
      <alignment vertical="center"/>
    </xf>
    <xf numFmtId="0" fontId="3" fillId="6" borderId="12" xfId="42" applyNumberFormat="1" applyFont="1" applyFill="1" applyBorder="1" applyAlignment="1">
      <alignment vertical="center"/>
    </xf>
    <xf numFmtId="3" fontId="3" fillId="6" borderId="12" xfId="42" applyNumberFormat="1" applyFont="1" applyFill="1" applyBorder="1" applyAlignment="1">
      <alignment vertical="center"/>
    </xf>
    <xf numFmtId="2" fontId="2" fillId="6" borderId="12" xfId="0" applyNumberFormat="1" applyFont="1" applyFill="1" applyBorder="1" applyAlignment="1">
      <alignment vertical="center"/>
    </xf>
    <xf numFmtId="2" fontId="3" fillId="6" borderId="12" xfId="0" applyNumberFormat="1" applyFont="1" applyFill="1" applyBorder="1" applyAlignment="1">
      <alignment vertical="center"/>
    </xf>
    <xf numFmtId="1" fontId="3" fillId="6" borderId="12" xfId="0" applyNumberFormat="1" applyFont="1" applyFill="1" applyBorder="1" applyAlignment="1">
      <alignment vertical="center"/>
    </xf>
    <xf numFmtId="3" fontId="3" fillId="6" borderId="12" xfId="0" applyNumberFormat="1" applyFont="1" applyFill="1" applyBorder="1" applyAlignment="1">
      <alignment vertical="center"/>
    </xf>
    <xf numFmtId="173" fontId="3" fillId="6" borderId="12" xfId="60" applyNumberFormat="1" applyFont="1" applyFill="1" applyBorder="1" applyAlignment="1">
      <alignment vertical="center"/>
    </xf>
    <xf numFmtId="0" fontId="3" fillId="6" borderId="12" xfId="0" applyFont="1" applyFill="1" applyBorder="1" applyAlignment="1">
      <alignment vertical="center" wrapText="1"/>
    </xf>
    <xf numFmtId="2" fontId="8" fillId="6" borderId="11" xfId="0" applyNumberFormat="1" applyFont="1" applyFill="1" applyBorder="1" applyAlignment="1">
      <alignment vertical="center"/>
    </xf>
    <xf numFmtId="4" fontId="4" fillId="0" borderId="0" xfId="0" applyNumberFormat="1" applyFont="1" applyFill="1" applyAlignment="1">
      <alignment horizontal="center"/>
    </xf>
    <xf numFmtId="2" fontId="9" fillId="6" borderId="11" xfId="0" applyNumberFormat="1" applyFont="1" applyFill="1" applyBorder="1" applyAlignment="1">
      <alignment vertical="center"/>
    </xf>
    <xf numFmtId="2" fontId="4" fillId="6" borderId="11" xfId="0" applyNumberFormat="1" applyFont="1" applyFill="1" applyBorder="1" applyAlignment="1">
      <alignment vertical="center"/>
    </xf>
    <xf numFmtId="3" fontId="4" fillId="6" borderId="11" xfId="0" applyNumberFormat="1" applyFont="1" applyFill="1" applyBorder="1" applyAlignment="1">
      <alignment vertical="center"/>
    </xf>
    <xf numFmtId="2" fontId="11" fillId="6" borderId="11" xfId="0" applyNumberFormat="1" applyFont="1" applyFill="1" applyBorder="1" applyAlignment="1">
      <alignment vertical="center"/>
    </xf>
    <xf numFmtId="2" fontId="3" fillId="6" borderId="11" xfId="0" applyNumberFormat="1" applyFont="1" applyFill="1" applyBorder="1" applyAlignment="1">
      <alignment vertical="center"/>
    </xf>
    <xf numFmtId="2" fontId="2" fillId="6" borderId="11" xfId="0" applyNumberFormat="1" applyFont="1" applyFill="1" applyBorder="1" applyAlignment="1">
      <alignment vertical="center"/>
    </xf>
    <xf numFmtId="1" fontId="3" fillId="6" borderId="11" xfId="0" applyNumberFormat="1" applyFont="1" applyFill="1" applyBorder="1" applyAlignment="1">
      <alignment vertical="center"/>
    </xf>
    <xf numFmtId="0" fontId="2" fillId="6" borderId="11" xfId="0" applyFont="1" applyFill="1" applyBorder="1" applyAlignment="1">
      <alignment vertical="center"/>
    </xf>
    <xf numFmtId="0" fontId="3" fillId="6" borderId="13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vertical="center"/>
    </xf>
    <xf numFmtId="2" fontId="10" fillId="6" borderId="13" xfId="0" applyNumberFormat="1" applyFont="1" applyFill="1" applyBorder="1" applyAlignment="1">
      <alignment vertical="center"/>
    </xf>
    <xf numFmtId="0" fontId="11" fillId="6" borderId="13" xfId="0" applyFont="1" applyFill="1" applyBorder="1" applyAlignment="1">
      <alignment vertical="center"/>
    </xf>
    <xf numFmtId="4" fontId="3" fillId="6" borderId="13" xfId="0" applyNumberFormat="1" applyFont="1" applyFill="1" applyBorder="1" applyAlignment="1">
      <alignment vertical="center"/>
    </xf>
    <xf numFmtId="0" fontId="3" fillId="6" borderId="13" xfId="0" applyNumberFormat="1" applyFont="1" applyFill="1" applyBorder="1" applyAlignment="1">
      <alignment vertical="center"/>
    </xf>
    <xf numFmtId="3" fontId="3" fillId="6" borderId="13" xfId="42" applyNumberFormat="1" applyFont="1" applyFill="1" applyBorder="1" applyAlignment="1">
      <alignment vertical="center"/>
    </xf>
    <xf numFmtId="2" fontId="2" fillId="6" borderId="13" xfId="0" applyNumberFormat="1" applyFont="1" applyFill="1" applyBorder="1" applyAlignment="1">
      <alignment vertical="center"/>
    </xf>
    <xf numFmtId="3" fontId="3" fillId="6" borderId="13" xfId="0" applyNumberFormat="1" applyFont="1" applyFill="1" applyBorder="1" applyAlignment="1">
      <alignment vertical="center"/>
    </xf>
    <xf numFmtId="173" fontId="3" fillId="6" borderId="13" xfId="60" applyNumberFormat="1" applyFont="1" applyFill="1" applyBorder="1" applyAlignment="1">
      <alignment vertical="center"/>
    </xf>
    <xf numFmtId="0" fontId="8" fillId="6" borderId="19" xfId="0" applyFont="1" applyFill="1" applyBorder="1" applyAlignment="1" quotePrefix="1">
      <alignment vertical="center" wrapText="1"/>
    </xf>
    <xf numFmtId="2" fontId="2" fillId="6" borderId="11" xfId="0" applyNumberFormat="1" applyFont="1" applyFill="1" applyBorder="1" applyAlignment="1">
      <alignment vertical="center"/>
    </xf>
    <xf numFmtId="0" fontId="3" fillId="0" borderId="19" xfId="0" applyFont="1" applyFill="1" applyBorder="1" applyAlignment="1" quotePrefix="1">
      <alignment vertical="center" wrapText="1"/>
    </xf>
    <xf numFmtId="2" fontId="10" fillId="0" borderId="15" xfId="0" applyNumberFormat="1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2" fontId="10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3" fontId="2" fillId="0" borderId="12" xfId="42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2" fontId="2" fillId="0" borderId="15" xfId="0" applyNumberFormat="1" applyFont="1" applyFill="1" applyBorder="1" applyAlignment="1">
      <alignment vertical="center"/>
    </xf>
    <xf numFmtId="3" fontId="30" fillId="0" borderId="15" xfId="42" applyNumberFormat="1" applyFont="1" applyFill="1" applyBorder="1" applyAlignment="1">
      <alignment vertical="center"/>
    </xf>
    <xf numFmtId="173" fontId="2" fillId="0" borderId="10" xfId="6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4" fontId="30" fillId="0" borderId="15" xfId="42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3" fontId="11" fillId="0" borderId="11" xfId="0" applyNumberFormat="1" applyFont="1" applyFill="1" applyBorder="1" applyAlignment="1">
      <alignment vertical="center"/>
    </xf>
    <xf numFmtId="0" fontId="3" fillId="0" borderId="11" xfId="0" applyFont="1" applyFill="1" applyBorder="1" applyAlignment="1" quotePrefix="1">
      <alignment vertical="center" wrapText="1"/>
    </xf>
    <xf numFmtId="2" fontId="3" fillId="0" borderId="11" xfId="42" applyNumberFormat="1" applyFont="1" applyFill="1" applyBorder="1" applyAlignment="1">
      <alignment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6" fillId="0" borderId="1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6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wrapText="1"/>
    </xf>
    <xf numFmtId="0" fontId="4" fillId="0" borderId="18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36" borderId="22" xfId="0" applyFont="1" applyFill="1" applyBorder="1" applyAlignment="1">
      <alignment horizontal="center" vertical="center" wrapText="1"/>
    </xf>
    <xf numFmtId="0" fontId="9" fillId="36" borderId="18" xfId="0" applyFont="1" applyFill="1" applyBorder="1" applyAlignment="1">
      <alignment horizontal="center" vertical="center" wrapText="1"/>
    </xf>
    <xf numFmtId="0" fontId="9" fillId="36" borderId="23" xfId="0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16" fillId="36" borderId="22" xfId="0" applyFont="1" applyFill="1" applyBorder="1" applyAlignment="1">
      <alignment horizontal="center" vertical="center"/>
    </xf>
    <xf numFmtId="0" fontId="16" fillId="36" borderId="18" xfId="0" applyFont="1" applyFill="1" applyBorder="1" applyAlignment="1">
      <alignment horizontal="center" vertical="center"/>
    </xf>
    <xf numFmtId="0" fontId="16" fillId="36" borderId="23" xfId="0" applyFont="1" applyFill="1" applyBorder="1" applyAlignment="1">
      <alignment horizontal="center" vertical="center"/>
    </xf>
    <xf numFmtId="0" fontId="8" fillId="36" borderId="14" xfId="0" applyFont="1" applyFill="1" applyBorder="1" applyAlignment="1">
      <alignment horizontal="center" vertical="center" wrapText="1"/>
    </xf>
    <xf numFmtId="0" fontId="8" fillId="36" borderId="15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16" fillId="35" borderId="22" xfId="0" applyFont="1" applyFill="1" applyBorder="1" applyAlignment="1">
      <alignment horizontal="center" vertical="center"/>
    </xf>
    <xf numFmtId="0" fontId="16" fillId="35" borderId="18" xfId="0" applyFont="1" applyFill="1" applyBorder="1" applyAlignment="1">
      <alignment horizontal="center" vertical="center"/>
    </xf>
    <xf numFmtId="0" fontId="16" fillId="35" borderId="23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horizontal="center" vertical="center" wrapText="1"/>
    </xf>
    <xf numFmtId="0" fontId="8" fillId="35" borderId="15" xfId="0" applyFont="1" applyFill="1" applyBorder="1" applyAlignment="1">
      <alignment horizontal="center" vertical="center" wrapText="1"/>
    </xf>
    <xf numFmtId="0" fontId="9" fillId="35" borderId="20" xfId="0" applyFont="1" applyFill="1" applyBorder="1" applyAlignment="1">
      <alignment horizontal="center" vertical="center" wrapText="1"/>
    </xf>
    <xf numFmtId="0" fontId="9" fillId="35" borderId="21" xfId="0" applyFont="1" applyFill="1" applyBorder="1" applyAlignment="1">
      <alignment horizontal="center" vertical="center" wrapText="1"/>
    </xf>
    <xf numFmtId="0" fontId="9" fillId="35" borderId="27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left" wrapText="1"/>
    </xf>
    <xf numFmtId="0" fontId="4" fillId="0" borderId="18" xfId="0" applyFont="1" applyBorder="1" applyAlignment="1">
      <alignment horizontal="left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16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6" fillId="0" borderId="22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0</xdr:row>
      <xdr:rowOff>0</xdr:rowOff>
    </xdr:from>
    <xdr:to>
      <xdr:col>19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4800600" y="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00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0</xdr:row>
      <xdr:rowOff>0</xdr:rowOff>
    </xdr:from>
    <xdr:to>
      <xdr:col>15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5048250" y="0"/>
          <a:ext cx="2381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295275</xdr:colOff>
      <xdr:row>1</xdr:row>
      <xdr:rowOff>9525</xdr:rowOff>
    </xdr:from>
    <xdr:to>
      <xdr:col>18</xdr:col>
      <xdr:colOff>295275</xdr:colOff>
      <xdr:row>1</xdr:row>
      <xdr:rowOff>9525</xdr:rowOff>
    </xdr:to>
    <xdr:sp>
      <xdr:nvSpPr>
        <xdr:cNvPr id="3" name="Straight Connector 3"/>
        <xdr:cNvSpPr>
          <a:spLocks/>
        </xdr:cNvSpPr>
      </xdr:nvSpPr>
      <xdr:spPr>
        <a:xfrm>
          <a:off x="8953500" y="3905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0</xdr:row>
      <xdr:rowOff>0</xdr:rowOff>
    </xdr:from>
    <xdr:to>
      <xdr:col>19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4800600" y="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0</xdr:row>
      <xdr:rowOff>0</xdr:rowOff>
    </xdr:from>
    <xdr:to>
      <xdr:col>19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4800600" y="0"/>
          <a:ext cx="2190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514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0</xdr:row>
      <xdr:rowOff>0</xdr:rowOff>
    </xdr:from>
    <xdr:to>
      <xdr:col>15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6010275" y="0"/>
          <a:ext cx="2571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295275</xdr:colOff>
      <xdr:row>1</xdr:row>
      <xdr:rowOff>9525</xdr:rowOff>
    </xdr:from>
    <xdr:to>
      <xdr:col>18</xdr:col>
      <xdr:colOff>295275</xdr:colOff>
      <xdr:row>1</xdr:row>
      <xdr:rowOff>9525</xdr:rowOff>
    </xdr:to>
    <xdr:sp>
      <xdr:nvSpPr>
        <xdr:cNvPr id="3" name="Straight Connector 3"/>
        <xdr:cNvSpPr>
          <a:spLocks/>
        </xdr:cNvSpPr>
      </xdr:nvSpPr>
      <xdr:spPr>
        <a:xfrm>
          <a:off x="10191750" y="3905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0</xdr:row>
      <xdr:rowOff>0</xdr:rowOff>
    </xdr:from>
    <xdr:to>
      <xdr:col>19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4800600" y="0"/>
          <a:ext cx="2190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514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0</xdr:row>
      <xdr:rowOff>0</xdr:rowOff>
    </xdr:from>
    <xdr:to>
      <xdr:col>15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6010275" y="0"/>
          <a:ext cx="2571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514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0</xdr:row>
      <xdr:rowOff>0</xdr:rowOff>
    </xdr:from>
    <xdr:to>
      <xdr:col>15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6010275" y="0"/>
          <a:ext cx="2571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0</xdr:row>
      <xdr:rowOff>0</xdr:rowOff>
    </xdr:from>
    <xdr:to>
      <xdr:col>19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5000625" y="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0</xdr:row>
      <xdr:rowOff>0</xdr:rowOff>
    </xdr:from>
    <xdr:to>
      <xdr:col>19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4895850" y="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0</xdr:row>
      <xdr:rowOff>0</xdr:rowOff>
    </xdr:from>
    <xdr:to>
      <xdr:col>19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4895850" y="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0</xdr:row>
      <xdr:rowOff>0</xdr:rowOff>
    </xdr:from>
    <xdr:to>
      <xdr:col>19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4829175" y="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"/>
  <sheetViews>
    <sheetView zoomScalePageLayoutView="0" workbookViewId="0" topLeftCell="A1">
      <selection activeCell="D15" sqref="D15"/>
    </sheetView>
  </sheetViews>
  <sheetFormatPr defaultColWidth="9.00390625" defaultRowHeight="14.25"/>
  <cols>
    <col min="1" max="1" width="9.00390625" style="1" customWidth="1"/>
    <col min="2" max="2" width="11.75390625" style="1" customWidth="1"/>
    <col min="3" max="3" width="8.875" style="2" customWidth="1"/>
    <col min="4" max="5" width="8.375" style="1" customWidth="1"/>
    <col min="6" max="6" width="9.375" style="1" customWidth="1"/>
    <col min="7" max="7" width="8.875" style="2" customWidth="1"/>
    <col min="8" max="9" width="8.375" style="1" customWidth="1"/>
    <col min="10" max="11" width="9.375" style="1" customWidth="1"/>
    <col min="12" max="12" width="6.625" style="1" hidden="1" customWidth="1"/>
    <col min="13" max="13" width="7.625" style="1" hidden="1" customWidth="1"/>
    <col min="14" max="14" width="8.50390625" style="1" hidden="1" customWidth="1"/>
    <col min="15" max="15" width="9.00390625" style="1" hidden="1" customWidth="1"/>
    <col min="16" max="16" width="10.625" style="1" customWidth="1"/>
    <col min="17" max="17" width="22.75390625" style="1" customWidth="1"/>
    <col min="18" max="18" width="10.625" style="1" customWidth="1"/>
    <col min="19" max="19" width="20.875" style="1" customWidth="1"/>
    <col min="20" max="16384" width="9.00390625" style="1" customWidth="1"/>
  </cols>
  <sheetData>
    <row r="1" spans="1:19" ht="44.25" customHeight="1">
      <c r="A1" s="839" t="s">
        <v>15</v>
      </c>
      <c r="B1" s="839"/>
      <c r="C1" s="839"/>
      <c r="D1" s="839"/>
      <c r="E1" s="839"/>
      <c r="F1" s="839"/>
      <c r="G1" s="839"/>
      <c r="H1" s="839"/>
      <c r="I1" s="839"/>
      <c r="J1" s="839"/>
      <c r="K1" s="839"/>
      <c r="L1" s="839"/>
      <c r="M1" s="839"/>
      <c r="N1" s="839"/>
      <c r="O1" s="839"/>
      <c r="P1" s="839"/>
      <c r="Q1" s="839"/>
      <c r="R1" s="9"/>
      <c r="S1" s="9"/>
    </row>
    <row r="2" spans="1:19" s="5" customFormat="1" ht="22.5" customHeight="1">
      <c r="A2" s="840" t="s">
        <v>16</v>
      </c>
      <c r="B2" s="840"/>
      <c r="C2" s="840"/>
      <c r="D2" s="840"/>
      <c r="E2" s="840"/>
      <c r="F2" s="840"/>
      <c r="G2" s="840"/>
      <c r="H2" s="840"/>
      <c r="I2" s="840"/>
      <c r="J2" s="840"/>
      <c r="K2" s="840"/>
      <c r="L2" s="840"/>
      <c r="M2" s="840"/>
      <c r="N2" s="840"/>
      <c r="O2" s="840"/>
      <c r="P2" s="840"/>
      <c r="Q2" s="840"/>
      <c r="R2" s="10"/>
      <c r="S2" s="10"/>
    </row>
    <row r="3" spans="1:18" s="3" customFormat="1" ht="46.5" customHeight="1">
      <c r="A3" s="844" t="s">
        <v>0</v>
      </c>
      <c r="B3" s="838" t="s">
        <v>1</v>
      </c>
      <c r="C3" s="838" t="s">
        <v>25</v>
      </c>
      <c r="D3" s="838"/>
      <c r="E3" s="838"/>
      <c r="F3" s="838"/>
      <c r="G3" s="833" t="s">
        <v>26</v>
      </c>
      <c r="H3" s="834"/>
      <c r="I3" s="834"/>
      <c r="J3" s="834"/>
      <c r="K3" s="834"/>
      <c r="L3" s="838" t="s">
        <v>22</v>
      </c>
      <c r="M3" s="838"/>
      <c r="N3" s="838"/>
      <c r="O3" s="838"/>
      <c r="P3" s="838" t="s">
        <v>34</v>
      </c>
      <c r="Q3" s="844" t="s">
        <v>14</v>
      </c>
      <c r="R3" s="7"/>
    </row>
    <row r="4" spans="1:19" s="3" customFormat="1" ht="14.25" customHeight="1">
      <c r="A4" s="844"/>
      <c r="B4" s="838"/>
      <c r="C4" s="838" t="s">
        <v>20</v>
      </c>
      <c r="D4" s="832" t="s">
        <v>21</v>
      </c>
      <c r="E4" s="832"/>
      <c r="F4" s="832"/>
      <c r="G4" s="838" t="s">
        <v>20</v>
      </c>
      <c r="H4" s="835" t="s">
        <v>21</v>
      </c>
      <c r="I4" s="836"/>
      <c r="J4" s="836"/>
      <c r="K4" s="837"/>
      <c r="L4" s="838" t="s">
        <v>20</v>
      </c>
      <c r="M4" s="832" t="s">
        <v>21</v>
      </c>
      <c r="N4" s="832"/>
      <c r="O4" s="832"/>
      <c r="P4" s="838"/>
      <c r="Q4" s="844"/>
      <c r="R4" s="6"/>
      <c r="S4" s="4"/>
    </row>
    <row r="5" spans="1:19" s="3" customFormat="1" ht="60" customHeight="1">
      <c r="A5" s="844"/>
      <c r="B5" s="838"/>
      <c r="C5" s="838"/>
      <c r="D5" s="8" t="s">
        <v>17</v>
      </c>
      <c r="E5" s="8" t="s">
        <v>18</v>
      </c>
      <c r="F5" s="8" t="s">
        <v>19</v>
      </c>
      <c r="G5" s="838"/>
      <c r="H5" s="8" t="s">
        <v>17</v>
      </c>
      <c r="I5" s="8" t="s">
        <v>18</v>
      </c>
      <c r="J5" s="8" t="s">
        <v>19</v>
      </c>
      <c r="K5" s="8" t="s">
        <v>32</v>
      </c>
      <c r="L5" s="838"/>
      <c r="M5" s="8" t="s">
        <v>17</v>
      </c>
      <c r="N5" s="8" t="s">
        <v>18</v>
      </c>
      <c r="O5" s="8" t="s">
        <v>19</v>
      </c>
      <c r="P5" s="838"/>
      <c r="Q5" s="844"/>
      <c r="R5" s="20" t="s">
        <v>28</v>
      </c>
      <c r="S5" s="4"/>
    </row>
    <row r="6" spans="1:18" s="26" customFormat="1" ht="24" customHeight="1">
      <c r="A6" s="30">
        <v>1</v>
      </c>
      <c r="B6" s="31" t="s">
        <v>3</v>
      </c>
      <c r="C6" s="32">
        <v>62.7</v>
      </c>
      <c r="D6" s="31">
        <v>22.8</v>
      </c>
      <c r="E6" s="31">
        <v>14</v>
      </c>
      <c r="F6" s="31">
        <v>25.9</v>
      </c>
      <c r="G6" s="32">
        <f>+H6+I6+J6</f>
        <v>32.82</v>
      </c>
      <c r="H6" s="31">
        <v>13.24</v>
      </c>
      <c r="I6" s="31">
        <v>7.75</v>
      </c>
      <c r="J6" s="31">
        <v>11.83</v>
      </c>
      <c r="K6" s="31"/>
      <c r="L6" s="31"/>
      <c r="M6" s="31"/>
      <c r="N6" s="31"/>
      <c r="O6" s="31"/>
      <c r="P6" s="37">
        <v>580</v>
      </c>
      <c r="Q6" s="33"/>
      <c r="R6" s="34" t="s">
        <v>27</v>
      </c>
    </row>
    <row r="7" spans="1:22" s="26" customFormat="1" ht="24" customHeight="1">
      <c r="A7" s="21">
        <v>2</v>
      </c>
      <c r="B7" s="22" t="s">
        <v>4</v>
      </c>
      <c r="C7" s="23">
        <v>111.7</v>
      </c>
      <c r="D7" s="22">
        <v>31.7</v>
      </c>
      <c r="E7" s="22">
        <v>66.3</v>
      </c>
      <c r="F7" s="22">
        <v>13.6</v>
      </c>
      <c r="G7" s="23">
        <f>+H7+I7+J7</f>
        <v>66</v>
      </c>
      <c r="H7" s="22">
        <v>24.6</v>
      </c>
      <c r="I7" s="22">
        <v>33.8</v>
      </c>
      <c r="J7" s="22">
        <v>7.6</v>
      </c>
      <c r="K7" s="22"/>
      <c r="L7" s="24">
        <f>+M7+O7+N7</f>
        <v>26.64</v>
      </c>
      <c r="M7" s="22">
        <v>12.83</v>
      </c>
      <c r="N7" s="22">
        <v>12.26</v>
      </c>
      <c r="O7" s="22">
        <v>1.55</v>
      </c>
      <c r="P7" s="29"/>
      <c r="Q7" s="25" t="s">
        <v>35</v>
      </c>
      <c r="R7" s="26" t="s">
        <v>33</v>
      </c>
      <c r="S7" s="26" t="s">
        <v>30</v>
      </c>
      <c r="T7" s="26">
        <v>24.6</v>
      </c>
      <c r="U7" s="26">
        <v>33.8</v>
      </c>
      <c r="V7" s="26">
        <v>7.6</v>
      </c>
    </row>
    <row r="8" spans="1:20" s="26" customFormat="1" ht="18" customHeight="1">
      <c r="A8" s="21">
        <v>3</v>
      </c>
      <c r="B8" s="22" t="s">
        <v>5</v>
      </c>
      <c r="C8" s="23">
        <v>45</v>
      </c>
      <c r="D8" s="22">
        <v>14.5</v>
      </c>
      <c r="E8" s="22">
        <v>19.4</v>
      </c>
      <c r="F8" s="22">
        <v>11.1</v>
      </c>
      <c r="G8" s="23">
        <f>+H8+I8+J8</f>
        <v>45</v>
      </c>
      <c r="H8" s="22">
        <v>14.5</v>
      </c>
      <c r="I8" s="22">
        <v>19.4</v>
      </c>
      <c r="J8" s="22">
        <v>11.1</v>
      </c>
      <c r="K8" s="22"/>
      <c r="L8" s="22"/>
      <c r="M8" s="22"/>
      <c r="N8" s="22"/>
      <c r="O8" s="22"/>
      <c r="P8" s="35">
        <v>0</v>
      </c>
      <c r="Q8" s="25" t="s">
        <v>35</v>
      </c>
      <c r="R8" s="26" t="s">
        <v>31</v>
      </c>
      <c r="T8" s="36">
        <f>+G7-66</f>
        <v>0</v>
      </c>
    </row>
    <row r="9" spans="1:18" s="26" customFormat="1" ht="24.75" customHeight="1">
      <c r="A9" s="21">
        <v>4</v>
      </c>
      <c r="B9" s="22" t="s">
        <v>6</v>
      </c>
      <c r="C9" s="23">
        <f>+D9+E9+F9</f>
        <v>60</v>
      </c>
      <c r="D9" s="22">
        <v>17</v>
      </c>
      <c r="E9" s="22">
        <v>18</v>
      </c>
      <c r="F9" s="22">
        <v>25</v>
      </c>
      <c r="G9" s="23">
        <f>+H9+I9+J9</f>
        <v>60</v>
      </c>
      <c r="H9" s="22">
        <v>17</v>
      </c>
      <c r="I9" s="22">
        <v>18</v>
      </c>
      <c r="J9" s="22">
        <v>25</v>
      </c>
      <c r="K9" s="22"/>
      <c r="L9" s="22"/>
      <c r="M9" s="22"/>
      <c r="N9" s="22"/>
      <c r="O9" s="22"/>
      <c r="P9" s="22"/>
      <c r="Q9" s="25" t="s">
        <v>35</v>
      </c>
      <c r="R9" s="26" t="s">
        <v>29</v>
      </c>
    </row>
    <row r="10" spans="1:18" s="26" customFormat="1" ht="24.75" customHeight="1">
      <c r="A10" s="21">
        <v>5</v>
      </c>
      <c r="B10" s="22" t="s">
        <v>7</v>
      </c>
      <c r="C10" s="23">
        <v>83.4</v>
      </c>
      <c r="D10" s="22">
        <v>28.9</v>
      </c>
      <c r="E10" s="22">
        <v>45.8</v>
      </c>
      <c r="F10" s="22">
        <v>8.7</v>
      </c>
      <c r="G10" s="23">
        <f>+H10+I10+J10+K10</f>
        <v>86.06</v>
      </c>
      <c r="H10" s="22">
        <v>21.76</v>
      </c>
      <c r="I10" s="22">
        <v>54.05</v>
      </c>
      <c r="J10" s="27">
        <v>7.12</v>
      </c>
      <c r="K10" s="22">
        <v>3.13</v>
      </c>
      <c r="L10" s="22"/>
      <c r="M10" s="22"/>
      <c r="N10" s="22"/>
      <c r="O10" s="22"/>
      <c r="P10" s="22"/>
      <c r="Q10" s="25" t="s">
        <v>35</v>
      </c>
      <c r="R10" s="26" t="s">
        <v>31</v>
      </c>
    </row>
    <row r="11" spans="1:17" ht="21.75" customHeight="1">
      <c r="A11" s="11">
        <v>6</v>
      </c>
      <c r="B11" s="12" t="s">
        <v>8</v>
      </c>
      <c r="C11" s="13">
        <v>110.5</v>
      </c>
      <c r="D11" s="12">
        <v>52.1</v>
      </c>
      <c r="E11" s="12">
        <v>26.1</v>
      </c>
      <c r="F11" s="12">
        <v>32.3</v>
      </c>
      <c r="G11" s="13">
        <f aca="true" t="shared" si="0" ref="G11:G17">+H11+I11+J11</f>
        <v>88.72</v>
      </c>
      <c r="H11" s="12">
        <v>15.02</v>
      </c>
      <c r="I11" s="12">
        <v>44</v>
      </c>
      <c r="J11" s="12">
        <v>29.7</v>
      </c>
      <c r="K11" s="12"/>
      <c r="L11" s="12"/>
      <c r="M11" s="12"/>
      <c r="N11" s="12"/>
      <c r="O11" s="12"/>
      <c r="P11" s="12"/>
      <c r="Q11" s="25"/>
    </row>
    <row r="12" spans="1:17" ht="21.75" customHeight="1">
      <c r="A12" s="11">
        <v>7</v>
      </c>
      <c r="B12" s="12" t="s">
        <v>2</v>
      </c>
      <c r="C12" s="13">
        <v>180.6</v>
      </c>
      <c r="D12" s="12">
        <v>55.4</v>
      </c>
      <c r="E12" s="12">
        <v>60.6</v>
      </c>
      <c r="F12" s="12">
        <v>64.6</v>
      </c>
      <c r="G12" s="13">
        <v>133</v>
      </c>
      <c r="H12" s="12"/>
      <c r="I12" s="12"/>
      <c r="J12" s="12"/>
      <c r="K12" s="12"/>
      <c r="L12" s="12"/>
      <c r="M12" s="12"/>
      <c r="N12" s="12"/>
      <c r="O12" s="12"/>
      <c r="P12" s="12">
        <v>6952.3</v>
      </c>
      <c r="Q12" s="25" t="s">
        <v>35</v>
      </c>
    </row>
    <row r="13" spans="1:17" ht="21.75" customHeight="1">
      <c r="A13" s="11">
        <v>8</v>
      </c>
      <c r="B13" s="12" t="s">
        <v>9</v>
      </c>
      <c r="C13" s="13">
        <v>134.8</v>
      </c>
      <c r="D13" s="12">
        <v>50.8</v>
      </c>
      <c r="E13" s="12">
        <v>57.8</v>
      </c>
      <c r="F13" s="12">
        <v>26.2</v>
      </c>
      <c r="G13" s="13">
        <f t="shared" si="0"/>
        <v>100</v>
      </c>
      <c r="H13" s="12">
        <v>29.59</v>
      </c>
      <c r="I13" s="12">
        <v>51.3</v>
      </c>
      <c r="J13" s="12">
        <v>19.11</v>
      </c>
      <c r="K13" s="12"/>
      <c r="L13" s="12"/>
      <c r="M13" s="12"/>
      <c r="N13" s="12"/>
      <c r="O13" s="12"/>
      <c r="P13" s="12">
        <v>500</v>
      </c>
      <c r="Q13" s="19"/>
    </row>
    <row r="14" spans="1:17" ht="21.75" customHeight="1">
      <c r="A14" s="11">
        <v>9</v>
      </c>
      <c r="B14" s="12" t="s">
        <v>10</v>
      </c>
      <c r="C14" s="13">
        <v>63.7</v>
      </c>
      <c r="D14" s="12">
        <v>35.5</v>
      </c>
      <c r="E14" s="15">
        <v>8</v>
      </c>
      <c r="F14" s="12">
        <v>20.2</v>
      </c>
      <c r="G14" s="13">
        <f>+C14</f>
        <v>63.7</v>
      </c>
      <c r="H14" s="12"/>
      <c r="I14" s="12"/>
      <c r="J14" s="12"/>
      <c r="K14" s="12"/>
      <c r="L14" s="12"/>
      <c r="M14" s="12"/>
      <c r="N14" s="12"/>
      <c r="O14" s="12"/>
      <c r="P14" s="12"/>
      <c r="Q14" s="14"/>
    </row>
    <row r="15" spans="1:17" s="26" customFormat="1" ht="19.5" customHeight="1">
      <c r="A15" s="21">
        <v>10</v>
      </c>
      <c r="B15" s="22" t="s">
        <v>11</v>
      </c>
      <c r="C15" s="23">
        <v>101.4</v>
      </c>
      <c r="D15" s="22">
        <v>56.2</v>
      </c>
      <c r="E15" s="22">
        <v>37.3</v>
      </c>
      <c r="F15" s="22">
        <v>8</v>
      </c>
      <c r="G15" s="23">
        <f t="shared" si="0"/>
        <v>92.86</v>
      </c>
      <c r="H15" s="22">
        <v>52.28</v>
      </c>
      <c r="I15" s="22">
        <v>37.84</v>
      </c>
      <c r="J15" s="22">
        <v>2.74</v>
      </c>
      <c r="K15" s="22"/>
      <c r="L15" s="24">
        <f>+M15+O15+N15</f>
        <v>9.5</v>
      </c>
      <c r="M15" s="22">
        <v>3.53</v>
      </c>
      <c r="N15" s="22">
        <v>5.97</v>
      </c>
      <c r="O15" s="22"/>
      <c r="P15" s="22">
        <v>1304.55</v>
      </c>
      <c r="Q15" s="25"/>
    </row>
    <row r="16" spans="1:17" s="26" customFormat="1" ht="19.5" customHeight="1">
      <c r="A16" s="21">
        <v>11</v>
      </c>
      <c r="B16" s="22" t="s">
        <v>12</v>
      </c>
      <c r="C16" s="23">
        <v>5</v>
      </c>
      <c r="D16" s="27">
        <v>1</v>
      </c>
      <c r="E16" s="27">
        <v>1</v>
      </c>
      <c r="F16" s="27">
        <v>3</v>
      </c>
      <c r="G16" s="28">
        <f>+H16+J16+I16</f>
        <v>5</v>
      </c>
      <c r="H16" s="27">
        <v>1</v>
      </c>
      <c r="I16" s="27">
        <v>1</v>
      </c>
      <c r="J16" s="27">
        <v>3</v>
      </c>
      <c r="K16" s="22"/>
      <c r="L16" s="22"/>
      <c r="M16" s="22"/>
      <c r="N16" s="22"/>
      <c r="O16" s="22"/>
      <c r="P16" s="22"/>
      <c r="Q16" s="25"/>
    </row>
    <row r="17" spans="1:17" s="26" customFormat="1" ht="19.5" customHeight="1">
      <c r="A17" s="21">
        <v>12</v>
      </c>
      <c r="B17" s="22" t="s">
        <v>13</v>
      </c>
      <c r="C17" s="23">
        <v>18</v>
      </c>
      <c r="D17" s="27">
        <v>4</v>
      </c>
      <c r="E17" s="27">
        <v>4.4</v>
      </c>
      <c r="F17" s="27">
        <v>9.6</v>
      </c>
      <c r="G17" s="23">
        <f t="shared" si="0"/>
        <v>18</v>
      </c>
      <c r="H17" s="27">
        <v>4</v>
      </c>
      <c r="I17" s="27">
        <v>4.4</v>
      </c>
      <c r="J17" s="27">
        <v>9.6</v>
      </c>
      <c r="K17" s="27"/>
      <c r="L17" s="22"/>
      <c r="M17" s="22"/>
      <c r="N17" s="22"/>
      <c r="O17" s="22"/>
      <c r="P17" s="22"/>
      <c r="Q17" s="25"/>
    </row>
    <row r="18" spans="1:17" ht="21.75" customHeight="1">
      <c r="A18" s="841" t="s">
        <v>23</v>
      </c>
      <c r="B18" s="842"/>
      <c r="C18" s="38">
        <f>+SUM(C6:C17)</f>
        <v>976.8000000000001</v>
      </c>
      <c r="D18" s="16">
        <f>+SUM(D6:D17)</f>
        <v>369.9</v>
      </c>
      <c r="E18" s="16">
        <f>+SUM(E6:E17)</f>
        <v>358.7</v>
      </c>
      <c r="F18" s="16">
        <f>+SUM(F6:F17)</f>
        <v>248.19999999999996</v>
      </c>
      <c r="G18" s="17">
        <f>+SUM(G6:G17)</f>
        <v>791.1600000000001</v>
      </c>
      <c r="H18" s="16">
        <f aca="true" t="shared" si="1" ref="H18:P18">+SUM(H6:H17)</f>
        <v>192.99</v>
      </c>
      <c r="I18" s="16">
        <f t="shared" si="1"/>
        <v>271.53999999999996</v>
      </c>
      <c r="J18" s="16">
        <f t="shared" si="1"/>
        <v>126.79999999999998</v>
      </c>
      <c r="K18" s="16"/>
      <c r="L18" s="16">
        <f t="shared" si="1"/>
        <v>36.14</v>
      </c>
      <c r="M18" s="16">
        <f t="shared" si="1"/>
        <v>16.36</v>
      </c>
      <c r="N18" s="16">
        <f t="shared" si="1"/>
        <v>18.23</v>
      </c>
      <c r="O18" s="16">
        <f t="shared" si="1"/>
        <v>1.55</v>
      </c>
      <c r="P18" s="16">
        <f t="shared" si="1"/>
        <v>9336.85</v>
      </c>
      <c r="Q18" s="18"/>
    </row>
    <row r="19" spans="15:17" ht="34.5" customHeight="1">
      <c r="O19" s="843" t="s">
        <v>24</v>
      </c>
      <c r="P19" s="843"/>
      <c r="Q19" s="843"/>
    </row>
  </sheetData>
  <sheetProtection/>
  <mergeCells count="17">
    <mergeCell ref="A1:Q1"/>
    <mergeCell ref="A2:Q2"/>
    <mergeCell ref="A18:B18"/>
    <mergeCell ref="O19:Q19"/>
    <mergeCell ref="C3:F3"/>
    <mergeCell ref="C4:C5"/>
    <mergeCell ref="G4:G5"/>
    <mergeCell ref="A3:A5"/>
    <mergeCell ref="B3:B5"/>
    <mergeCell ref="Q3:Q5"/>
    <mergeCell ref="D4:F4"/>
    <mergeCell ref="G3:K3"/>
    <mergeCell ref="H4:K4"/>
    <mergeCell ref="P3:P5"/>
    <mergeCell ref="L3:O3"/>
    <mergeCell ref="L4:L5"/>
    <mergeCell ref="M4:O4"/>
  </mergeCells>
  <printOptions horizontalCentered="1"/>
  <pageMargins left="0.1968503937007874" right="0.1968503937007874" top="0.31496062992125984" bottom="0.31496062992125984" header="0.31496062992125984" footer="0.31496062992125984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47"/>
  <sheetViews>
    <sheetView zoomScalePageLayoutView="115" workbookViewId="0" topLeftCell="A10">
      <selection activeCell="S10" sqref="S10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hidden="1" customWidth="1"/>
    <col min="14" max="18" width="6.625" style="26" hidden="1" customWidth="1"/>
    <col min="19" max="19" width="6.625" style="163" customWidth="1"/>
    <col min="20" max="24" width="6.625" style="26" customWidth="1"/>
    <col min="25" max="25" width="7.125" style="26" customWidth="1"/>
    <col min="26" max="26" width="45.25390625" style="26" bestFit="1" customWidth="1"/>
    <col min="27" max="27" width="13.875" style="649" customWidth="1"/>
    <col min="28" max="28" width="10.625" style="26" customWidth="1"/>
    <col min="29" max="29" width="20.875" style="26" customWidth="1"/>
    <col min="30" max="32" width="9.00390625" style="26" customWidth="1"/>
    <col min="33" max="16384" width="9.00390625" style="26" customWidth="1"/>
  </cols>
  <sheetData>
    <row r="1" spans="1:29" ht="30" customHeight="1">
      <c r="A1" s="856" t="s">
        <v>36</v>
      </c>
      <c r="B1" s="856"/>
      <c r="C1" s="856"/>
      <c r="D1" s="856"/>
      <c r="E1" s="856"/>
      <c r="F1" s="856"/>
      <c r="G1" s="856"/>
      <c r="H1" s="856"/>
      <c r="I1" s="856"/>
      <c r="J1" s="856"/>
      <c r="K1" s="856"/>
      <c r="L1" s="856"/>
      <c r="M1" s="856"/>
      <c r="N1" s="856"/>
      <c r="O1" s="856"/>
      <c r="P1" s="856"/>
      <c r="Q1" s="856"/>
      <c r="R1" s="856"/>
      <c r="S1" s="856"/>
      <c r="T1" s="856"/>
      <c r="U1" s="856"/>
      <c r="V1" s="856"/>
      <c r="W1" s="856"/>
      <c r="X1" s="856"/>
      <c r="Y1" s="856"/>
      <c r="Z1" s="856"/>
      <c r="AA1" s="636"/>
      <c r="AB1" s="146"/>
      <c r="AC1" s="146"/>
    </row>
    <row r="2" spans="1:29" s="148" customFormat="1" ht="22.5" customHeight="1">
      <c r="A2" s="857" t="s">
        <v>326</v>
      </c>
      <c r="B2" s="857"/>
      <c r="C2" s="857"/>
      <c r="D2" s="857"/>
      <c r="E2" s="857"/>
      <c r="F2" s="857"/>
      <c r="G2" s="857"/>
      <c r="H2" s="857"/>
      <c r="I2" s="857"/>
      <c r="J2" s="857"/>
      <c r="K2" s="857"/>
      <c r="L2" s="857"/>
      <c r="M2" s="857"/>
      <c r="N2" s="857"/>
      <c r="O2" s="857"/>
      <c r="P2" s="857"/>
      <c r="Q2" s="857"/>
      <c r="R2" s="857"/>
      <c r="S2" s="857"/>
      <c r="T2" s="857"/>
      <c r="U2" s="857"/>
      <c r="V2" s="857"/>
      <c r="W2" s="857"/>
      <c r="X2" s="857"/>
      <c r="Y2" s="857"/>
      <c r="Z2" s="857"/>
      <c r="AA2" s="637"/>
      <c r="AB2" s="147"/>
      <c r="AC2" s="147"/>
    </row>
    <row r="3" spans="1:29" s="148" customFormat="1" ht="22.5" customHeight="1">
      <c r="A3" s="858"/>
      <c r="B3" s="858"/>
      <c r="C3" s="858"/>
      <c r="D3" s="858"/>
      <c r="E3" s="858"/>
      <c r="F3" s="858"/>
      <c r="G3" s="858"/>
      <c r="H3" s="858"/>
      <c r="I3" s="858"/>
      <c r="J3" s="858"/>
      <c r="K3" s="858"/>
      <c r="L3" s="858"/>
      <c r="M3" s="858"/>
      <c r="N3" s="858"/>
      <c r="O3" s="858"/>
      <c r="P3" s="858"/>
      <c r="Q3" s="858"/>
      <c r="R3" s="858"/>
      <c r="S3" s="858"/>
      <c r="T3" s="858"/>
      <c r="U3" s="858"/>
      <c r="V3" s="858"/>
      <c r="W3" s="858"/>
      <c r="X3" s="858"/>
      <c r="Y3" s="858"/>
      <c r="Z3" s="858"/>
      <c r="AA3" s="658"/>
      <c r="AB3" s="147"/>
      <c r="AC3" s="147"/>
    </row>
    <row r="4" spans="1:28" s="151" customFormat="1" ht="46.5" customHeight="1">
      <c r="A4" s="859" t="s">
        <v>0</v>
      </c>
      <c r="B4" s="860" t="s">
        <v>1</v>
      </c>
      <c r="C4" s="861" t="s">
        <v>25</v>
      </c>
      <c r="D4" s="861"/>
      <c r="E4" s="861"/>
      <c r="F4" s="861"/>
      <c r="G4" s="845" t="s">
        <v>26</v>
      </c>
      <c r="H4" s="846"/>
      <c r="I4" s="846"/>
      <c r="J4" s="846"/>
      <c r="K4" s="846"/>
      <c r="L4" s="847"/>
      <c r="M4" s="845"/>
      <c r="N4" s="846"/>
      <c r="O4" s="846"/>
      <c r="P4" s="846"/>
      <c r="Q4" s="846"/>
      <c r="R4" s="847"/>
      <c r="S4" s="848" t="s">
        <v>307</v>
      </c>
      <c r="T4" s="849"/>
      <c r="U4" s="849"/>
      <c r="V4" s="849"/>
      <c r="W4" s="849"/>
      <c r="X4" s="850"/>
      <c r="Y4" s="866" t="s">
        <v>43</v>
      </c>
      <c r="Z4" s="859" t="s">
        <v>14</v>
      </c>
      <c r="AA4" s="867" t="s">
        <v>313</v>
      </c>
      <c r="AB4" s="150"/>
    </row>
    <row r="5" spans="1:29" s="151" customFormat="1" ht="14.25" customHeight="1">
      <c r="A5" s="859"/>
      <c r="B5" s="860"/>
      <c r="C5" s="861" t="s">
        <v>20</v>
      </c>
      <c r="D5" s="868" t="s">
        <v>21</v>
      </c>
      <c r="E5" s="868"/>
      <c r="F5" s="868"/>
      <c r="G5" s="860" t="s">
        <v>38</v>
      </c>
      <c r="H5" s="869" t="s">
        <v>21</v>
      </c>
      <c r="I5" s="869"/>
      <c r="J5" s="869"/>
      <c r="K5" s="869"/>
      <c r="L5" s="854" t="s">
        <v>202</v>
      </c>
      <c r="M5" s="860" t="s">
        <v>38</v>
      </c>
      <c r="N5" s="851" t="s">
        <v>21</v>
      </c>
      <c r="O5" s="852"/>
      <c r="P5" s="852"/>
      <c r="Q5" s="853"/>
      <c r="R5" s="854" t="s">
        <v>37</v>
      </c>
      <c r="S5" s="860" t="s">
        <v>38</v>
      </c>
      <c r="T5" s="851" t="s">
        <v>21</v>
      </c>
      <c r="U5" s="852"/>
      <c r="V5" s="852"/>
      <c r="W5" s="853"/>
      <c r="X5" s="854" t="s">
        <v>37</v>
      </c>
      <c r="Y5" s="866"/>
      <c r="Z5" s="859"/>
      <c r="AA5" s="867"/>
      <c r="AB5" s="152"/>
      <c r="AC5" s="153"/>
    </row>
    <row r="6" spans="1:29" s="151" customFormat="1" ht="76.5">
      <c r="A6" s="859"/>
      <c r="B6" s="860"/>
      <c r="C6" s="861"/>
      <c r="D6" s="154" t="s">
        <v>17</v>
      </c>
      <c r="E6" s="154" t="s">
        <v>18</v>
      </c>
      <c r="F6" s="154" t="s">
        <v>19</v>
      </c>
      <c r="G6" s="860"/>
      <c r="H6" s="149" t="s">
        <v>39</v>
      </c>
      <c r="I6" s="149" t="s">
        <v>40</v>
      </c>
      <c r="J6" s="149" t="s">
        <v>41</v>
      </c>
      <c r="K6" s="149" t="s">
        <v>42</v>
      </c>
      <c r="L6" s="855"/>
      <c r="M6" s="860"/>
      <c r="N6" s="149" t="s">
        <v>39</v>
      </c>
      <c r="O6" s="149" t="s">
        <v>40</v>
      </c>
      <c r="P6" s="149" t="s">
        <v>41</v>
      </c>
      <c r="Q6" s="149" t="s">
        <v>42</v>
      </c>
      <c r="R6" s="855"/>
      <c r="S6" s="860"/>
      <c r="T6" s="149" t="s">
        <v>39</v>
      </c>
      <c r="U6" s="149" t="s">
        <v>40</v>
      </c>
      <c r="V6" s="149" t="s">
        <v>41</v>
      </c>
      <c r="W6" s="149" t="s">
        <v>42</v>
      </c>
      <c r="X6" s="855"/>
      <c r="Y6" s="866"/>
      <c r="Z6" s="859"/>
      <c r="AA6" s="867"/>
      <c r="AB6" s="155"/>
      <c r="AC6" s="153"/>
    </row>
    <row r="7" spans="1:29" s="148" customFormat="1" ht="17.25" customHeight="1">
      <c r="A7" s="639">
        <v>1</v>
      </c>
      <c r="B7" s="640">
        <v>2</v>
      </c>
      <c r="C7" s="641"/>
      <c r="D7" s="641"/>
      <c r="E7" s="641"/>
      <c r="F7" s="641"/>
      <c r="G7" s="640">
        <v>3</v>
      </c>
      <c r="H7" s="642">
        <v>4</v>
      </c>
      <c r="I7" s="642">
        <v>5</v>
      </c>
      <c r="J7" s="642">
        <v>6</v>
      </c>
      <c r="K7" s="642">
        <v>7</v>
      </c>
      <c r="L7" s="642">
        <v>8</v>
      </c>
      <c r="M7" s="642">
        <v>9</v>
      </c>
      <c r="N7" s="642">
        <v>10</v>
      </c>
      <c r="O7" s="642">
        <v>11</v>
      </c>
      <c r="P7" s="642">
        <v>12</v>
      </c>
      <c r="Q7" s="642">
        <v>13</v>
      </c>
      <c r="R7" s="642">
        <v>14</v>
      </c>
      <c r="S7" s="642">
        <v>15</v>
      </c>
      <c r="T7" s="642">
        <v>16</v>
      </c>
      <c r="U7" s="642">
        <v>17</v>
      </c>
      <c r="V7" s="642">
        <v>18</v>
      </c>
      <c r="W7" s="642">
        <v>19</v>
      </c>
      <c r="X7" s="642">
        <v>20</v>
      </c>
      <c r="Y7" s="640" t="s">
        <v>47</v>
      </c>
      <c r="Z7" s="689">
        <v>22</v>
      </c>
      <c r="AA7" s="643"/>
      <c r="AB7" s="155"/>
      <c r="AC7" s="643"/>
    </row>
    <row r="8" spans="1:28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6645.867999999999</v>
      </c>
      <c r="M8" s="599">
        <f>SUM(N8:Q8)</f>
        <v>17.36</v>
      </c>
      <c r="N8" s="545">
        <f>+LH!N20</f>
        <v>2.5300000000000002</v>
      </c>
      <c r="O8" s="545">
        <f>+LH!O20</f>
        <v>7.53</v>
      </c>
      <c r="P8" s="545">
        <f>+LH!P20</f>
        <v>7.3</v>
      </c>
      <c r="Q8" s="545"/>
      <c r="R8" s="627">
        <f>+LH!R20</f>
        <v>1312</v>
      </c>
      <c r="S8" s="547">
        <f>SUM(T8:W8)</f>
        <v>23.725</v>
      </c>
      <c r="T8" s="465">
        <v>3.227</v>
      </c>
      <c r="U8" s="465">
        <v>13.198</v>
      </c>
      <c r="V8" s="465">
        <v>7.3</v>
      </c>
      <c r="W8" s="465"/>
      <c r="X8" s="616">
        <v>4468</v>
      </c>
      <c r="Y8" s="549">
        <f>+S8/G8</f>
        <v>0.681165661785817</v>
      </c>
      <c r="Z8" s="688" t="s">
        <v>311</v>
      </c>
      <c r="AA8" s="646">
        <f>+S8+4</f>
        <v>27.725</v>
      </c>
      <c r="AB8" s="71"/>
    </row>
    <row r="9" spans="1:27" s="68" customFormat="1" ht="24" customHeight="1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0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9955.8</v>
      </c>
      <c r="M9" s="449">
        <f aca="true" t="shared" si="1" ref="M9:M19">SUM(N9:Q9)</f>
        <v>4.508</v>
      </c>
      <c r="N9" s="342">
        <f>+'HS'!J36</f>
        <v>2.16</v>
      </c>
      <c r="O9" s="342">
        <f>+'HS'!K36</f>
        <v>2.148</v>
      </c>
      <c r="P9" s="342">
        <f>+'HS'!L36</f>
        <v>0.2</v>
      </c>
      <c r="Q9" s="342"/>
      <c r="R9" s="647">
        <f>+'HS'!N36</f>
        <v>874.4028200000001</v>
      </c>
      <c r="S9" s="648">
        <f aca="true" t="shared" si="2" ref="S9:S19">SUM(T9:W9)</f>
        <v>20.5</v>
      </c>
      <c r="T9" s="342">
        <v>8.07</v>
      </c>
      <c r="U9" s="690">
        <v>7.98</v>
      </c>
      <c r="V9" s="342">
        <v>4.45</v>
      </c>
      <c r="W9" s="342"/>
      <c r="X9" s="647">
        <v>3463</v>
      </c>
      <c r="Y9" s="604">
        <f aca="true" t="shared" si="3" ref="Y9:Y18">+S9/G9</f>
        <v>0.3550459827845997</v>
      </c>
      <c r="Z9" s="645" t="s">
        <v>314</v>
      </c>
      <c r="AA9" s="646">
        <f>+S9</f>
        <v>20.5</v>
      </c>
    </row>
    <row r="10" spans="1:30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0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603">
        <f t="shared" si="1"/>
        <v>6.700000000000001</v>
      </c>
      <c r="N10" s="471">
        <f>+VQ!N17</f>
        <v>1.25</v>
      </c>
      <c r="O10" s="471">
        <f>+VQ!O17</f>
        <v>2.1300000000000003</v>
      </c>
      <c r="P10" s="471">
        <f>+VQ!P17</f>
        <v>3.3200000000000003</v>
      </c>
      <c r="Q10" s="471"/>
      <c r="R10" s="618">
        <f>+VQ!R17</f>
        <v>969</v>
      </c>
      <c r="S10" s="603">
        <f>SUM(T10:W10)</f>
        <v>19.73</v>
      </c>
      <c r="T10" s="471">
        <v>3.44</v>
      </c>
      <c r="U10" s="471">
        <v>10.57</v>
      </c>
      <c r="V10" s="471">
        <v>5.72</v>
      </c>
      <c r="W10" s="471"/>
      <c r="X10" s="618">
        <v>2941</v>
      </c>
      <c r="Y10" s="604">
        <f t="shared" si="3"/>
        <v>0.4588372093023256</v>
      </c>
      <c r="Z10" s="473"/>
      <c r="AA10" s="638">
        <f>+S10</f>
        <v>19.73</v>
      </c>
      <c r="AD10" s="77"/>
    </row>
    <row r="11" spans="1:27" ht="23.25" customHeight="1">
      <c r="A11" s="267">
        <v>4</v>
      </c>
      <c r="B11" s="475" t="s">
        <v>6</v>
      </c>
      <c r="C11" s="348">
        <f>+D11+E11+F11</f>
        <v>60</v>
      </c>
      <c r="D11" s="342">
        <v>17</v>
      </c>
      <c r="E11" s="342">
        <v>18</v>
      </c>
      <c r="F11" s="342">
        <v>25</v>
      </c>
      <c r="G11" s="558">
        <f t="shared" si="0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605">
        <f t="shared" si="1"/>
        <v>2.67</v>
      </c>
      <c r="N11" s="475">
        <f>+'DT'!J35</f>
        <v>0.7</v>
      </c>
      <c r="O11" s="475">
        <f>+'DT'!K35</f>
        <v>0</v>
      </c>
      <c r="P11" s="475">
        <f>+'DT'!L35</f>
        <v>1.97</v>
      </c>
      <c r="Q11" s="475"/>
      <c r="R11" s="619">
        <f>+'DT'!N35</f>
        <v>0</v>
      </c>
      <c r="S11" s="605">
        <f t="shared" si="2"/>
        <v>25.43</v>
      </c>
      <c r="T11" s="506">
        <v>12.27</v>
      </c>
      <c r="U11" s="475">
        <v>4.82</v>
      </c>
      <c r="V11" s="475">
        <v>8.34</v>
      </c>
      <c r="W11" s="475"/>
      <c r="X11" s="619">
        <v>1017</v>
      </c>
      <c r="Y11" s="563">
        <f t="shared" si="3"/>
        <v>0.42383333333333334</v>
      </c>
      <c r="Z11" s="645" t="s">
        <v>310</v>
      </c>
      <c r="AA11" s="649">
        <f>+S11+4.5</f>
        <v>29.93</v>
      </c>
    </row>
    <row r="12" spans="1:27" ht="24.75" customHeight="1">
      <c r="A12" s="267">
        <v>5</v>
      </c>
      <c r="B12" s="475" t="s">
        <v>7</v>
      </c>
      <c r="C12" s="348">
        <v>83.4</v>
      </c>
      <c r="D12" s="342">
        <v>28.9</v>
      </c>
      <c r="E12" s="342">
        <v>45.8</v>
      </c>
      <c r="F12" s="342">
        <v>8.7</v>
      </c>
      <c r="G12" s="558">
        <f t="shared" si="0"/>
        <v>84.369</v>
      </c>
      <c r="H12" s="558">
        <v>20.07</v>
      </c>
      <c r="I12" s="558">
        <v>54.049</v>
      </c>
      <c r="J12" s="558">
        <v>7.12</v>
      </c>
      <c r="K12" s="531">
        <v>3.13</v>
      </c>
      <c r="L12" s="629">
        <v>11267.87</v>
      </c>
      <c r="M12" s="605">
        <f t="shared" si="1"/>
        <v>14.06</v>
      </c>
      <c r="N12" s="475">
        <f>+'HK'!J29</f>
        <v>5.53</v>
      </c>
      <c r="O12" s="475">
        <f>+'HK'!K29</f>
        <v>6.93</v>
      </c>
      <c r="P12" s="475">
        <f>+'HK'!L29</f>
        <v>1.4000000000000001</v>
      </c>
      <c r="Q12" s="475">
        <f>+'HK'!M29</f>
        <v>0.2</v>
      </c>
      <c r="R12" s="619">
        <f>+'HK'!N29</f>
        <v>1666.4</v>
      </c>
      <c r="S12" s="605">
        <f t="shared" si="2"/>
        <v>60.5</v>
      </c>
      <c r="T12" s="475">
        <v>13.5</v>
      </c>
      <c r="U12" s="475">
        <v>39.5</v>
      </c>
      <c r="V12" s="475">
        <v>6.2</v>
      </c>
      <c r="W12" s="475">
        <v>1.3</v>
      </c>
      <c r="X12" s="619">
        <v>8586</v>
      </c>
      <c r="Y12" s="563">
        <f t="shared" si="3"/>
        <v>0.7170880299636122</v>
      </c>
      <c r="Z12" s="476" t="s">
        <v>309</v>
      </c>
      <c r="AA12" s="649">
        <f>+S12</f>
        <v>60.5</v>
      </c>
    </row>
    <row r="13" spans="1:27" ht="21.75" customHeight="1">
      <c r="A13" s="267">
        <v>6</v>
      </c>
      <c r="B13" s="475" t="s">
        <v>8</v>
      </c>
      <c r="C13" s="348">
        <v>110.5</v>
      </c>
      <c r="D13" s="342">
        <v>52.1</v>
      </c>
      <c r="E13" s="342">
        <v>26.1</v>
      </c>
      <c r="F13" s="342">
        <v>32.3</v>
      </c>
      <c r="G13" s="558">
        <f t="shared" si="0"/>
        <v>88.69</v>
      </c>
      <c r="H13" s="558">
        <v>15.02</v>
      </c>
      <c r="I13" s="558">
        <v>43.97</v>
      </c>
      <c r="J13" s="558">
        <v>29.7</v>
      </c>
      <c r="K13" s="531"/>
      <c r="L13" s="629">
        <v>11441.72</v>
      </c>
      <c r="M13" s="605">
        <f t="shared" si="1"/>
        <v>4.5726</v>
      </c>
      <c r="N13" s="475">
        <f>+'CL'!N30</f>
        <v>0.335</v>
      </c>
      <c r="O13" s="475">
        <f>+'CL'!O30</f>
        <v>3.4156000000000004</v>
      </c>
      <c r="P13" s="475">
        <f>+'CL'!P30</f>
        <v>0.8220000000000001</v>
      </c>
      <c r="Q13" s="475"/>
      <c r="R13" s="619">
        <f>+'CL'!R30</f>
        <v>133</v>
      </c>
      <c r="S13" s="605">
        <f t="shared" si="2"/>
        <v>37.29</v>
      </c>
      <c r="T13" s="475">
        <v>3.18</v>
      </c>
      <c r="U13" s="475">
        <v>19.23</v>
      </c>
      <c r="V13" s="475">
        <v>14.88</v>
      </c>
      <c r="W13" s="475"/>
      <c r="X13" s="619">
        <v>5141</v>
      </c>
      <c r="Y13" s="563">
        <f t="shared" si="3"/>
        <v>0.42045326417859963</v>
      </c>
      <c r="Z13" s="476"/>
      <c r="AA13" s="649">
        <f>+S13</f>
        <v>37.29</v>
      </c>
    </row>
    <row r="14" spans="1:27" s="68" customFormat="1" ht="21.75" customHeight="1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0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603">
        <f t="shared" si="1"/>
        <v>5.31</v>
      </c>
      <c r="N14" s="471">
        <f>+'CX'!N32</f>
        <v>0.2</v>
      </c>
      <c r="O14" s="471">
        <f>+'CX'!O32</f>
        <v>2.7099999999999995</v>
      </c>
      <c r="P14" s="471">
        <f>+'CX'!P32</f>
        <v>2.4</v>
      </c>
      <c r="Q14" s="471"/>
      <c r="R14" s="618">
        <f>+'CX'!R32</f>
        <v>0</v>
      </c>
      <c r="S14" s="603">
        <f t="shared" si="2"/>
        <v>52.76</v>
      </c>
      <c r="T14" s="471">
        <v>7.62</v>
      </c>
      <c r="U14" s="471">
        <v>26.17</v>
      </c>
      <c r="V14" s="471">
        <v>18.97</v>
      </c>
      <c r="W14" s="471"/>
      <c r="X14" s="618">
        <v>6194.95</v>
      </c>
      <c r="Y14" s="604">
        <f t="shared" si="3"/>
        <v>0.39573957395739573</v>
      </c>
      <c r="Z14" s="473"/>
      <c r="AA14" s="638">
        <f>+S14</f>
        <v>52.76</v>
      </c>
    </row>
    <row r="15" spans="1:27" s="703" customFormat="1" ht="21.75" customHeight="1">
      <c r="A15" s="691">
        <v>8</v>
      </c>
      <c r="B15" s="692" t="s">
        <v>9</v>
      </c>
      <c r="C15" s="693">
        <v>134.8</v>
      </c>
      <c r="D15" s="694">
        <v>50.8</v>
      </c>
      <c r="E15" s="694">
        <v>57.8</v>
      </c>
      <c r="F15" s="694">
        <v>26.2</v>
      </c>
      <c r="G15" s="695">
        <f t="shared" si="0"/>
        <v>94</v>
      </c>
      <c r="H15" s="695">
        <v>28.09</v>
      </c>
      <c r="I15" s="695">
        <v>48.3</v>
      </c>
      <c r="J15" s="695">
        <v>17.61</v>
      </c>
      <c r="K15" s="696"/>
      <c r="L15" s="697">
        <v>12917.85</v>
      </c>
      <c r="M15" s="698">
        <f t="shared" si="1"/>
        <v>3.15</v>
      </c>
      <c r="N15" s="692">
        <f>+TH!N38</f>
        <v>0</v>
      </c>
      <c r="O15" s="692">
        <f>+TH!O38</f>
        <v>2.65</v>
      </c>
      <c r="P15" s="692">
        <f>+TH!P38</f>
        <v>0.5</v>
      </c>
      <c r="Q15" s="692"/>
      <c r="R15" s="699">
        <f>+TH!R38</f>
        <v>611</v>
      </c>
      <c r="S15" s="698">
        <f t="shared" si="2"/>
        <v>47.37</v>
      </c>
      <c r="T15" s="692">
        <v>8.6</v>
      </c>
      <c r="U15" s="692">
        <v>32.12</v>
      </c>
      <c r="V15" s="692">
        <v>6.65</v>
      </c>
      <c r="W15" s="692"/>
      <c r="X15" s="699">
        <v>6873.6</v>
      </c>
      <c r="Y15" s="700">
        <f t="shared" si="3"/>
        <v>0.5039361702127659</v>
      </c>
      <c r="Z15" s="701" t="s">
        <v>312</v>
      </c>
      <c r="AA15" s="702">
        <f>+S15+26.6</f>
        <v>73.97</v>
      </c>
    </row>
    <row r="16" spans="1:27" s="68" customFormat="1" ht="21.75" customHeight="1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0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603">
        <f t="shared" si="1"/>
        <v>0.95</v>
      </c>
      <c r="N16" s="471">
        <f>+NX!N21</f>
        <v>0.95</v>
      </c>
      <c r="O16" s="471">
        <f>+NX!O21</f>
        <v>0</v>
      </c>
      <c r="P16" s="471">
        <f>+NX!P21</f>
        <v>0</v>
      </c>
      <c r="Q16" s="471"/>
      <c r="R16" s="618">
        <f>+NX!R21</f>
        <v>263.3</v>
      </c>
      <c r="S16" s="603">
        <f t="shared" si="2"/>
        <v>8.33</v>
      </c>
      <c r="T16" s="471">
        <v>2.37</v>
      </c>
      <c r="U16" s="471">
        <v>5.26</v>
      </c>
      <c r="V16" s="471">
        <v>0.7</v>
      </c>
      <c r="W16" s="471"/>
      <c r="X16" s="618">
        <v>1312.2</v>
      </c>
      <c r="Y16" s="604">
        <f t="shared" si="3"/>
        <v>0.21602697095435683</v>
      </c>
      <c r="Z16" s="473"/>
      <c r="AA16" s="638">
        <f>+S16</f>
        <v>8.33</v>
      </c>
    </row>
    <row r="17" spans="1:27" s="706" customFormat="1" ht="19.5" customHeight="1">
      <c r="A17" s="691">
        <v>10</v>
      </c>
      <c r="B17" s="692" t="s">
        <v>11</v>
      </c>
      <c r="C17" s="693">
        <v>101.4</v>
      </c>
      <c r="D17" s="694">
        <v>56.2</v>
      </c>
      <c r="E17" s="694">
        <v>37.3</v>
      </c>
      <c r="F17" s="694">
        <v>8</v>
      </c>
      <c r="G17" s="695">
        <f t="shared" si="0"/>
        <v>92.05999999999999</v>
      </c>
      <c r="H17" s="695">
        <v>51.48</v>
      </c>
      <c r="I17" s="695">
        <v>37.84</v>
      </c>
      <c r="J17" s="695">
        <v>2.74</v>
      </c>
      <c r="K17" s="696"/>
      <c r="L17" s="697">
        <v>14117.22</v>
      </c>
      <c r="M17" s="698">
        <f t="shared" si="1"/>
        <v>2.45</v>
      </c>
      <c r="N17" s="692">
        <f>+KA!J40</f>
        <v>2.25</v>
      </c>
      <c r="O17" s="692">
        <f>+KA!K40</f>
        <v>0.2</v>
      </c>
      <c r="P17" s="692">
        <f>+KA!L40</f>
        <v>0</v>
      </c>
      <c r="Q17" s="692"/>
      <c r="R17" s="699">
        <f>+KA!N40</f>
        <v>578</v>
      </c>
      <c r="S17" s="698">
        <f t="shared" si="2"/>
        <v>33.55</v>
      </c>
      <c r="T17" s="692">
        <v>14.03</v>
      </c>
      <c r="U17" s="692">
        <v>18.52</v>
      </c>
      <c r="V17" s="692">
        <v>1</v>
      </c>
      <c r="W17" s="692"/>
      <c r="X17" s="699">
        <v>5500</v>
      </c>
      <c r="Y17" s="704">
        <f t="shared" si="3"/>
        <v>0.36443623723658486</v>
      </c>
      <c r="Z17" s="701" t="s">
        <v>319</v>
      </c>
      <c r="AA17" s="705">
        <f>+S17+10</f>
        <v>43.55</v>
      </c>
    </row>
    <row r="18" spans="1:27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0"/>
        <v>2.6</v>
      </c>
      <c r="H18" s="607">
        <v>1</v>
      </c>
      <c r="I18" s="607"/>
      <c r="J18" s="607">
        <v>1.6</v>
      </c>
      <c r="K18" s="531"/>
      <c r="L18" s="629">
        <v>438</v>
      </c>
      <c r="M18" s="626">
        <f t="shared" si="1"/>
        <v>0</v>
      </c>
      <c r="N18" s="623">
        <f>+TXHL!N8</f>
        <v>0</v>
      </c>
      <c r="O18" s="623">
        <f>+TXHL!O8</f>
        <v>0</v>
      </c>
      <c r="P18" s="623">
        <f>+TXHL!P8</f>
        <v>0</v>
      </c>
      <c r="Q18" s="623"/>
      <c r="R18" s="618">
        <f>+TXHL!R8</f>
        <v>0</v>
      </c>
      <c r="S18" s="608">
        <f t="shared" si="2"/>
        <v>1.448</v>
      </c>
      <c r="T18" s="607">
        <v>0.68</v>
      </c>
      <c r="U18" s="623">
        <v>0</v>
      </c>
      <c r="V18" s="607">
        <v>0.768</v>
      </c>
      <c r="W18" s="623"/>
      <c r="X18" s="618">
        <v>66</v>
      </c>
      <c r="Y18" s="563">
        <f t="shared" si="3"/>
        <v>0.5569230769230769</v>
      </c>
      <c r="Z18" s="476" t="s">
        <v>308</v>
      </c>
      <c r="AA18" s="646">
        <f>+S18+2</f>
        <v>3.448</v>
      </c>
    </row>
    <row r="19" spans="1:27" s="725" customFormat="1" ht="19.5" customHeight="1">
      <c r="A19" s="707">
        <v>12</v>
      </c>
      <c r="B19" s="708" t="s">
        <v>13</v>
      </c>
      <c r="C19" s="709">
        <v>18</v>
      </c>
      <c r="D19" s="710">
        <v>4</v>
      </c>
      <c r="E19" s="710">
        <v>4.4</v>
      </c>
      <c r="F19" s="710">
        <v>9.6</v>
      </c>
      <c r="G19" s="711">
        <f t="shared" si="0"/>
        <v>18</v>
      </c>
      <c r="H19" s="711">
        <v>4</v>
      </c>
      <c r="I19" s="711">
        <v>4.4</v>
      </c>
      <c r="J19" s="711">
        <v>9.6</v>
      </c>
      <c r="K19" s="712"/>
      <c r="L19" s="713">
        <v>2384</v>
      </c>
      <c r="M19" s="714">
        <f t="shared" si="1"/>
        <v>5.5</v>
      </c>
      <c r="N19" s="715">
        <f>+TPHT!N13</f>
        <v>1.6</v>
      </c>
      <c r="O19" s="715">
        <f>+TPHT!O13</f>
        <v>0.2</v>
      </c>
      <c r="P19" s="715">
        <f>+TPHT!P13</f>
        <v>3.7</v>
      </c>
      <c r="Q19" s="716"/>
      <c r="R19" s="717">
        <f>+TPHT!R13</f>
        <v>470</v>
      </c>
      <c r="S19" s="718">
        <f t="shared" si="2"/>
        <v>7.8</v>
      </c>
      <c r="T19" s="719">
        <v>1.9</v>
      </c>
      <c r="U19" s="719">
        <v>0.4</v>
      </c>
      <c r="V19" s="719">
        <v>5.5</v>
      </c>
      <c r="W19" s="720"/>
      <c r="X19" s="721">
        <v>883</v>
      </c>
      <c r="Y19" s="722">
        <f>+S19/G19</f>
        <v>0.43333333333333335</v>
      </c>
      <c r="Z19" s="723"/>
      <c r="AA19" s="724">
        <f>+S19</f>
        <v>7.8</v>
      </c>
    </row>
    <row r="20" spans="1:27" ht="21.75" customHeight="1">
      <c r="A20" s="870" t="s">
        <v>23</v>
      </c>
      <c r="B20" s="871"/>
      <c r="C20" s="478">
        <f aca="true" t="shared" si="4" ref="C20:Q20">+SUM(C8:C19)</f>
        <v>976.8000000000001</v>
      </c>
      <c r="D20" s="479">
        <f t="shared" si="4"/>
        <v>369.9</v>
      </c>
      <c r="E20" s="479">
        <f t="shared" si="4"/>
        <v>358.7</v>
      </c>
      <c r="F20" s="479">
        <f t="shared" si="4"/>
        <v>248.19999999999996</v>
      </c>
      <c r="G20" s="359">
        <f t="shared" si="4"/>
        <v>747.168</v>
      </c>
      <c r="H20" s="652">
        <f t="shared" si="4"/>
        <v>231.515</v>
      </c>
      <c r="I20" s="652">
        <f t="shared" si="4"/>
        <v>317.46799999999996</v>
      </c>
      <c r="J20" s="652">
        <f t="shared" si="4"/>
        <v>195.055</v>
      </c>
      <c r="K20" s="652">
        <f>+SUM(K8:K19)</f>
        <v>3.13</v>
      </c>
      <c r="L20" s="653">
        <f t="shared" si="4"/>
        <v>108098.62800000001</v>
      </c>
      <c r="M20" s="483">
        <f t="shared" si="4"/>
        <v>67.23060000000001</v>
      </c>
      <c r="N20" s="480">
        <f t="shared" si="4"/>
        <v>17.505000000000003</v>
      </c>
      <c r="O20" s="480">
        <f t="shared" si="4"/>
        <v>27.9136</v>
      </c>
      <c r="P20" s="481">
        <f t="shared" si="4"/>
        <v>21.612</v>
      </c>
      <c r="Q20" s="481">
        <f t="shared" si="4"/>
        <v>0.2</v>
      </c>
      <c r="R20" s="654">
        <f aca="true" t="shared" si="5" ref="R20:X20">+SUM(R8:R19)</f>
        <v>6877.102820000001</v>
      </c>
      <c r="S20" s="481">
        <f t="shared" si="5"/>
        <v>338.43299999999994</v>
      </c>
      <c r="T20" s="480">
        <f t="shared" si="5"/>
        <v>78.887</v>
      </c>
      <c r="U20" s="481">
        <f t="shared" si="5"/>
        <v>177.768</v>
      </c>
      <c r="V20" s="481">
        <f t="shared" si="5"/>
        <v>80.47800000000001</v>
      </c>
      <c r="W20" s="481">
        <f t="shared" si="5"/>
        <v>1.3</v>
      </c>
      <c r="X20" s="654">
        <f t="shared" si="5"/>
        <v>46445.75</v>
      </c>
      <c r="Y20" s="655">
        <f>+S20/G20</f>
        <v>0.4529543556469227</v>
      </c>
      <c r="Z20" s="486"/>
      <c r="AA20" s="656">
        <f>SUM(AA8:AA19)</f>
        <v>385.53299999999996</v>
      </c>
    </row>
    <row r="21" spans="2:27" ht="30" customHeight="1">
      <c r="B21" s="864" t="s">
        <v>48</v>
      </c>
      <c r="C21" s="865"/>
      <c r="D21" s="865"/>
      <c r="E21" s="865"/>
      <c r="F21" s="865"/>
      <c r="G21" s="865"/>
      <c r="H21" s="865"/>
      <c r="I21" s="865"/>
      <c r="J21" s="865"/>
      <c r="K21" s="865"/>
      <c r="L21" s="865"/>
      <c r="M21" s="865"/>
      <c r="N21" s="865"/>
      <c r="O21" s="865"/>
      <c r="P21" s="865"/>
      <c r="Q21" s="865"/>
      <c r="R21" s="865"/>
      <c r="S21" s="865"/>
      <c r="T21" s="865"/>
      <c r="U21" s="865"/>
      <c r="V21" s="865"/>
      <c r="W21" s="865"/>
      <c r="X21" s="865"/>
      <c r="Y21" s="865"/>
      <c r="Z21" s="865"/>
      <c r="AA21" s="657"/>
    </row>
    <row r="22" spans="2:25" ht="15">
      <c r="B22" s="162"/>
      <c r="R22" s="164"/>
      <c r="U22" s="36"/>
      <c r="X22" s="165"/>
      <c r="Y22" s="166"/>
    </row>
    <row r="23" spans="2:24" ht="15">
      <c r="B23" s="659"/>
      <c r="G23" s="167"/>
      <c r="N23" s="36"/>
      <c r="S23" s="168"/>
      <c r="X23" s="169"/>
    </row>
    <row r="47" spans="21:25" ht="15">
      <c r="U47" s="465">
        <v>3.457</v>
      </c>
      <c r="V47" s="465">
        <v>14.248</v>
      </c>
      <c r="W47" s="465">
        <v>7.3</v>
      </c>
      <c r="X47" s="465"/>
      <c r="Y47" s="616">
        <v>4856</v>
      </c>
    </row>
  </sheetData>
  <sheetProtection/>
  <mergeCells count="25">
    <mergeCell ref="B21:Z21"/>
    <mergeCell ref="Z4:Z6"/>
    <mergeCell ref="AA4:AA6"/>
    <mergeCell ref="C5:C6"/>
    <mergeCell ref="D5:F5"/>
    <mergeCell ref="G5:G6"/>
    <mergeCell ref="H5:K5"/>
    <mergeCell ref="S4:X4"/>
    <mergeCell ref="Y4:Y6"/>
    <mergeCell ref="T5:W5"/>
    <mergeCell ref="A20:B20"/>
    <mergeCell ref="L5:L6"/>
    <mergeCell ref="M5:M6"/>
    <mergeCell ref="N5:Q5"/>
    <mergeCell ref="R5:R6"/>
    <mergeCell ref="S5:S6"/>
    <mergeCell ref="A1:Z1"/>
    <mergeCell ref="A2:Z2"/>
    <mergeCell ref="A3:Z3"/>
    <mergeCell ref="A4:A6"/>
    <mergeCell ref="B4:B6"/>
    <mergeCell ref="X5:X6"/>
    <mergeCell ref="C4:F4"/>
    <mergeCell ref="G4:L4"/>
    <mergeCell ref="M4:R4"/>
  </mergeCells>
  <printOptions/>
  <pageMargins left="0.2" right="0.2" top="0.58" bottom="0.36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47"/>
  <sheetViews>
    <sheetView zoomScalePageLayoutView="115" workbookViewId="0" topLeftCell="A7">
      <selection activeCell="W19" sqref="W19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hidden="1" customWidth="1"/>
    <col min="14" max="18" width="6.625" style="26" hidden="1" customWidth="1"/>
    <col min="19" max="19" width="6.625" style="163" customWidth="1"/>
    <col min="20" max="24" width="6.625" style="26" customWidth="1"/>
    <col min="25" max="25" width="7.125" style="26" customWidth="1"/>
    <col min="26" max="26" width="45.25390625" style="26" bestFit="1" customWidth="1"/>
    <col min="27" max="27" width="13.875" style="649" customWidth="1"/>
    <col min="28" max="28" width="10.625" style="26" customWidth="1"/>
    <col min="29" max="29" width="20.875" style="26" customWidth="1"/>
    <col min="30" max="32" width="9.00390625" style="26" customWidth="1"/>
    <col min="33" max="16384" width="9.00390625" style="26" customWidth="1"/>
  </cols>
  <sheetData>
    <row r="1" spans="1:29" ht="30" customHeight="1">
      <c r="A1" s="856" t="s">
        <v>36</v>
      </c>
      <c r="B1" s="856"/>
      <c r="C1" s="856"/>
      <c r="D1" s="856"/>
      <c r="E1" s="856"/>
      <c r="F1" s="856"/>
      <c r="G1" s="856"/>
      <c r="H1" s="856"/>
      <c r="I1" s="856"/>
      <c r="J1" s="856"/>
      <c r="K1" s="856"/>
      <c r="L1" s="856"/>
      <c r="M1" s="856"/>
      <c r="N1" s="856"/>
      <c r="O1" s="856"/>
      <c r="P1" s="856"/>
      <c r="Q1" s="856"/>
      <c r="R1" s="856"/>
      <c r="S1" s="856"/>
      <c r="T1" s="856"/>
      <c r="U1" s="856"/>
      <c r="V1" s="856"/>
      <c r="W1" s="856"/>
      <c r="X1" s="856"/>
      <c r="Y1" s="856"/>
      <c r="Z1" s="856"/>
      <c r="AA1" s="636"/>
      <c r="AB1" s="146"/>
      <c r="AC1" s="146"/>
    </row>
    <row r="2" spans="1:29" s="148" customFormat="1" ht="22.5" customHeight="1">
      <c r="A2" s="857" t="s">
        <v>318</v>
      </c>
      <c r="B2" s="857"/>
      <c r="C2" s="857"/>
      <c r="D2" s="857"/>
      <c r="E2" s="857"/>
      <c r="F2" s="857"/>
      <c r="G2" s="857"/>
      <c r="H2" s="857"/>
      <c r="I2" s="857"/>
      <c r="J2" s="857"/>
      <c r="K2" s="857"/>
      <c r="L2" s="857"/>
      <c r="M2" s="857"/>
      <c r="N2" s="857"/>
      <c r="O2" s="857"/>
      <c r="P2" s="857"/>
      <c r="Q2" s="857"/>
      <c r="R2" s="857"/>
      <c r="S2" s="857"/>
      <c r="T2" s="857"/>
      <c r="U2" s="857"/>
      <c r="V2" s="857"/>
      <c r="W2" s="857"/>
      <c r="X2" s="857"/>
      <c r="Y2" s="857"/>
      <c r="Z2" s="857"/>
      <c r="AA2" s="637"/>
      <c r="AB2" s="147"/>
      <c r="AC2" s="147"/>
    </row>
    <row r="3" spans="1:29" s="148" customFormat="1" ht="22.5" customHeight="1">
      <c r="A3" s="858"/>
      <c r="B3" s="858"/>
      <c r="C3" s="858"/>
      <c r="D3" s="858"/>
      <c r="E3" s="858"/>
      <c r="F3" s="858"/>
      <c r="G3" s="858"/>
      <c r="H3" s="858"/>
      <c r="I3" s="858"/>
      <c r="J3" s="858"/>
      <c r="K3" s="858"/>
      <c r="L3" s="858"/>
      <c r="M3" s="858"/>
      <c r="N3" s="858"/>
      <c r="O3" s="858"/>
      <c r="P3" s="858"/>
      <c r="Q3" s="858"/>
      <c r="R3" s="858"/>
      <c r="S3" s="858"/>
      <c r="T3" s="858"/>
      <c r="U3" s="858"/>
      <c r="V3" s="858"/>
      <c r="W3" s="858"/>
      <c r="X3" s="858"/>
      <c r="Y3" s="858"/>
      <c r="Z3" s="858"/>
      <c r="AA3" s="658"/>
      <c r="AB3" s="147"/>
      <c r="AC3" s="147"/>
    </row>
    <row r="4" spans="1:28" s="151" customFormat="1" ht="46.5" customHeight="1">
      <c r="A4" s="859" t="s">
        <v>0</v>
      </c>
      <c r="B4" s="860" t="s">
        <v>1</v>
      </c>
      <c r="C4" s="861" t="s">
        <v>25</v>
      </c>
      <c r="D4" s="861"/>
      <c r="E4" s="861"/>
      <c r="F4" s="861"/>
      <c r="G4" s="845" t="s">
        <v>26</v>
      </c>
      <c r="H4" s="846"/>
      <c r="I4" s="846"/>
      <c r="J4" s="846"/>
      <c r="K4" s="846"/>
      <c r="L4" s="847"/>
      <c r="M4" s="845"/>
      <c r="N4" s="846"/>
      <c r="O4" s="846"/>
      <c r="P4" s="846"/>
      <c r="Q4" s="846"/>
      <c r="R4" s="847"/>
      <c r="S4" s="848" t="s">
        <v>307</v>
      </c>
      <c r="T4" s="849"/>
      <c r="U4" s="849"/>
      <c r="V4" s="849"/>
      <c r="W4" s="849"/>
      <c r="X4" s="850"/>
      <c r="Y4" s="866" t="s">
        <v>43</v>
      </c>
      <c r="Z4" s="859" t="s">
        <v>14</v>
      </c>
      <c r="AA4" s="867" t="s">
        <v>313</v>
      </c>
      <c r="AB4" s="150"/>
    </row>
    <row r="5" spans="1:29" s="151" customFormat="1" ht="14.25" customHeight="1">
      <c r="A5" s="859"/>
      <c r="B5" s="860"/>
      <c r="C5" s="861" t="s">
        <v>20</v>
      </c>
      <c r="D5" s="868" t="s">
        <v>21</v>
      </c>
      <c r="E5" s="868"/>
      <c r="F5" s="868"/>
      <c r="G5" s="860" t="s">
        <v>38</v>
      </c>
      <c r="H5" s="869" t="s">
        <v>21</v>
      </c>
      <c r="I5" s="869"/>
      <c r="J5" s="869"/>
      <c r="K5" s="869"/>
      <c r="L5" s="854" t="s">
        <v>202</v>
      </c>
      <c r="M5" s="860" t="s">
        <v>38</v>
      </c>
      <c r="N5" s="851" t="s">
        <v>21</v>
      </c>
      <c r="O5" s="852"/>
      <c r="P5" s="852"/>
      <c r="Q5" s="853"/>
      <c r="R5" s="854" t="s">
        <v>37</v>
      </c>
      <c r="S5" s="860" t="s">
        <v>38</v>
      </c>
      <c r="T5" s="851" t="s">
        <v>21</v>
      </c>
      <c r="U5" s="852"/>
      <c r="V5" s="852"/>
      <c r="W5" s="853"/>
      <c r="X5" s="854" t="s">
        <v>37</v>
      </c>
      <c r="Y5" s="866"/>
      <c r="Z5" s="859"/>
      <c r="AA5" s="867"/>
      <c r="AB5" s="152"/>
      <c r="AC5" s="153"/>
    </row>
    <row r="6" spans="1:29" s="151" customFormat="1" ht="76.5">
      <c r="A6" s="859"/>
      <c r="B6" s="860"/>
      <c r="C6" s="861"/>
      <c r="D6" s="154" t="s">
        <v>17</v>
      </c>
      <c r="E6" s="154" t="s">
        <v>18</v>
      </c>
      <c r="F6" s="154" t="s">
        <v>19</v>
      </c>
      <c r="G6" s="860"/>
      <c r="H6" s="149" t="s">
        <v>39</v>
      </c>
      <c r="I6" s="149" t="s">
        <v>40</v>
      </c>
      <c r="J6" s="149" t="s">
        <v>41</v>
      </c>
      <c r="K6" s="149" t="s">
        <v>42</v>
      </c>
      <c r="L6" s="855"/>
      <c r="M6" s="860"/>
      <c r="N6" s="149" t="s">
        <v>39</v>
      </c>
      <c r="O6" s="149" t="s">
        <v>40</v>
      </c>
      <c r="P6" s="149" t="s">
        <v>41</v>
      </c>
      <c r="Q6" s="149" t="s">
        <v>42</v>
      </c>
      <c r="R6" s="855"/>
      <c r="S6" s="860"/>
      <c r="T6" s="149" t="s">
        <v>39</v>
      </c>
      <c r="U6" s="149" t="s">
        <v>40</v>
      </c>
      <c r="V6" s="149" t="s">
        <v>41</v>
      </c>
      <c r="W6" s="149" t="s">
        <v>42</v>
      </c>
      <c r="X6" s="855"/>
      <c r="Y6" s="866"/>
      <c r="Z6" s="859"/>
      <c r="AA6" s="867"/>
      <c r="AB6" s="155"/>
      <c r="AC6" s="153"/>
    </row>
    <row r="7" spans="1:29" s="148" customFormat="1" ht="17.25" customHeight="1">
      <c r="A7" s="639">
        <v>1</v>
      </c>
      <c r="B7" s="640">
        <v>2</v>
      </c>
      <c r="C7" s="641"/>
      <c r="D7" s="641"/>
      <c r="E7" s="641"/>
      <c r="F7" s="641"/>
      <c r="G7" s="640">
        <v>3</v>
      </c>
      <c r="H7" s="642">
        <v>4</v>
      </c>
      <c r="I7" s="642">
        <v>5</v>
      </c>
      <c r="J7" s="642">
        <v>6</v>
      </c>
      <c r="K7" s="642">
        <v>7</v>
      </c>
      <c r="L7" s="642">
        <v>8</v>
      </c>
      <c r="M7" s="642">
        <v>9</v>
      </c>
      <c r="N7" s="642">
        <v>10</v>
      </c>
      <c r="O7" s="642">
        <v>11</v>
      </c>
      <c r="P7" s="642">
        <v>12</v>
      </c>
      <c r="Q7" s="642">
        <v>13</v>
      </c>
      <c r="R7" s="642">
        <v>14</v>
      </c>
      <c r="S7" s="642">
        <v>15</v>
      </c>
      <c r="T7" s="642">
        <v>16</v>
      </c>
      <c r="U7" s="642">
        <v>17</v>
      </c>
      <c r="V7" s="642">
        <v>18</v>
      </c>
      <c r="W7" s="642">
        <v>19</v>
      </c>
      <c r="X7" s="642">
        <v>20</v>
      </c>
      <c r="Y7" s="640" t="s">
        <v>47</v>
      </c>
      <c r="Z7" s="689">
        <v>22</v>
      </c>
      <c r="AA7" s="643"/>
      <c r="AB7" s="155"/>
      <c r="AC7" s="643"/>
    </row>
    <row r="8" spans="1:28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6645.867999999999</v>
      </c>
      <c r="M8" s="599">
        <f>SUM(N8:Q8)</f>
        <v>17.36</v>
      </c>
      <c r="N8" s="545">
        <f>+LH!N20</f>
        <v>2.5300000000000002</v>
      </c>
      <c r="O8" s="545">
        <f>+LH!O20</f>
        <v>7.53</v>
      </c>
      <c r="P8" s="545">
        <f>+LH!P20</f>
        <v>7.3</v>
      </c>
      <c r="Q8" s="545"/>
      <c r="R8" s="627">
        <f>+LH!R20</f>
        <v>1312</v>
      </c>
      <c r="S8" s="547">
        <f>SUM(T8:W8)</f>
        <v>23.725</v>
      </c>
      <c r="T8" s="465">
        <v>3.227</v>
      </c>
      <c r="U8" s="465">
        <v>13.198</v>
      </c>
      <c r="V8" s="465">
        <v>7.3</v>
      </c>
      <c r="W8" s="465"/>
      <c r="X8" s="616">
        <v>4468</v>
      </c>
      <c r="Y8" s="549">
        <f>+S8/G8</f>
        <v>0.681165661785817</v>
      </c>
      <c r="Z8" s="688" t="s">
        <v>311</v>
      </c>
      <c r="AA8" s="646">
        <f>+S8+4</f>
        <v>27.725</v>
      </c>
      <c r="AB8" s="71"/>
    </row>
    <row r="9" spans="1:27" s="68" customFormat="1" ht="24" customHeight="1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0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9955.8</v>
      </c>
      <c r="M9" s="449">
        <f aca="true" t="shared" si="1" ref="M9:M19">SUM(N9:Q9)</f>
        <v>4.508</v>
      </c>
      <c r="N9" s="342">
        <f>+'HS'!J36</f>
        <v>2.16</v>
      </c>
      <c r="O9" s="342">
        <f>+'HS'!K36</f>
        <v>2.148</v>
      </c>
      <c r="P9" s="342">
        <f>+'HS'!L36</f>
        <v>0.2</v>
      </c>
      <c r="Q9" s="342"/>
      <c r="R9" s="647">
        <f>+'HS'!N36</f>
        <v>874.4028200000001</v>
      </c>
      <c r="S9" s="648">
        <f aca="true" t="shared" si="2" ref="S9:S19">SUM(T9:W9)</f>
        <v>20.499000000000002</v>
      </c>
      <c r="T9" s="342">
        <f>+'HS'!P36</f>
        <v>6.84</v>
      </c>
      <c r="U9" s="690">
        <f>+'HS'!Q36+2+2.46</f>
        <v>12.309000000000001</v>
      </c>
      <c r="V9" s="342">
        <f>+'HS'!R36</f>
        <v>1.3499999999999999</v>
      </c>
      <c r="W9" s="342"/>
      <c r="X9" s="647">
        <f>+'HS'!T36</f>
        <v>2196.712</v>
      </c>
      <c r="Y9" s="604">
        <f aca="true" t="shared" si="3" ref="Y9:Y18">+S9/G9</f>
        <v>0.35502866346836637</v>
      </c>
      <c r="Z9" s="645" t="s">
        <v>314</v>
      </c>
      <c r="AA9" s="646">
        <f>+S9</f>
        <v>20.499000000000002</v>
      </c>
    </row>
    <row r="10" spans="1:30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0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603">
        <f t="shared" si="1"/>
        <v>6.700000000000001</v>
      </c>
      <c r="N10" s="471">
        <f>+VQ!N17</f>
        <v>1.25</v>
      </c>
      <c r="O10" s="471">
        <f>+VQ!O17</f>
        <v>2.1300000000000003</v>
      </c>
      <c r="P10" s="471">
        <f>+VQ!P17</f>
        <v>3.3200000000000003</v>
      </c>
      <c r="Q10" s="471"/>
      <c r="R10" s="618">
        <f>+VQ!R17</f>
        <v>969</v>
      </c>
      <c r="S10" s="603">
        <f>SUM(T10:W10)</f>
        <v>19.73</v>
      </c>
      <c r="T10" s="471">
        <v>3.44</v>
      </c>
      <c r="U10" s="471">
        <v>10.57</v>
      </c>
      <c r="V10" s="471">
        <v>5.72</v>
      </c>
      <c r="W10" s="471"/>
      <c r="X10" s="618">
        <v>2941</v>
      </c>
      <c r="Y10" s="604">
        <f t="shared" si="3"/>
        <v>0.4588372093023256</v>
      </c>
      <c r="Z10" s="473"/>
      <c r="AA10" s="638">
        <f>+S10</f>
        <v>19.73</v>
      </c>
      <c r="AD10" s="77"/>
    </row>
    <row r="11" spans="1:27" ht="23.25" customHeight="1">
      <c r="A11" s="267">
        <v>4</v>
      </c>
      <c r="B11" s="475" t="s">
        <v>6</v>
      </c>
      <c r="C11" s="348">
        <f>+D11+E11+F11</f>
        <v>60</v>
      </c>
      <c r="D11" s="342">
        <v>17</v>
      </c>
      <c r="E11" s="342">
        <v>18</v>
      </c>
      <c r="F11" s="342">
        <v>25</v>
      </c>
      <c r="G11" s="558">
        <f t="shared" si="0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605">
        <f t="shared" si="1"/>
        <v>2.67</v>
      </c>
      <c r="N11" s="475">
        <f>+'DT'!J35</f>
        <v>0.7</v>
      </c>
      <c r="O11" s="475">
        <f>+'DT'!K35</f>
        <v>0</v>
      </c>
      <c r="P11" s="475">
        <f>+'DT'!L35</f>
        <v>1.97</v>
      </c>
      <c r="Q11" s="475"/>
      <c r="R11" s="619">
        <f>+'DT'!N35</f>
        <v>0</v>
      </c>
      <c r="S11" s="605">
        <f t="shared" si="2"/>
        <v>21.456000000000003</v>
      </c>
      <c r="T11" s="506">
        <f>+'DT'!P35+0.926</f>
        <v>4.026</v>
      </c>
      <c r="U11" s="475">
        <f>4.7+3.01</f>
        <v>7.71</v>
      </c>
      <c r="V11" s="475">
        <f>+'DT'!R35+3</f>
        <v>9.72</v>
      </c>
      <c r="W11" s="475"/>
      <c r="X11" s="619">
        <v>637</v>
      </c>
      <c r="Y11" s="563">
        <f t="shared" si="3"/>
        <v>0.35760000000000003</v>
      </c>
      <c r="Z11" s="645" t="s">
        <v>310</v>
      </c>
      <c r="AA11" s="649">
        <f>+S11+4.5</f>
        <v>25.956000000000003</v>
      </c>
    </row>
    <row r="12" spans="1:27" ht="24.75" customHeight="1">
      <c r="A12" s="267">
        <v>5</v>
      </c>
      <c r="B12" s="475" t="s">
        <v>7</v>
      </c>
      <c r="C12" s="348">
        <v>83.4</v>
      </c>
      <c r="D12" s="342">
        <v>28.9</v>
      </c>
      <c r="E12" s="342">
        <v>45.8</v>
      </c>
      <c r="F12" s="342">
        <v>8.7</v>
      </c>
      <c r="G12" s="558">
        <f t="shared" si="0"/>
        <v>84.369</v>
      </c>
      <c r="H12" s="558">
        <v>20.07</v>
      </c>
      <c r="I12" s="558">
        <v>54.049</v>
      </c>
      <c r="J12" s="558">
        <v>7.12</v>
      </c>
      <c r="K12" s="531">
        <v>3.13</v>
      </c>
      <c r="L12" s="629">
        <v>11267.87</v>
      </c>
      <c r="M12" s="605">
        <f t="shared" si="1"/>
        <v>14.06</v>
      </c>
      <c r="N12" s="475">
        <f>+'HK'!J29</f>
        <v>5.53</v>
      </c>
      <c r="O12" s="475">
        <f>+'HK'!K29</f>
        <v>6.93</v>
      </c>
      <c r="P12" s="475">
        <f>+'HK'!L29</f>
        <v>1.4000000000000001</v>
      </c>
      <c r="Q12" s="475">
        <f>+'HK'!M29</f>
        <v>0.2</v>
      </c>
      <c r="R12" s="619">
        <f>+'HK'!N29</f>
        <v>1666.4</v>
      </c>
      <c r="S12" s="605">
        <f t="shared" si="2"/>
        <v>44.8</v>
      </c>
      <c r="T12" s="475">
        <v>11.7</v>
      </c>
      <c r="U12" s="475">
        <v>28.2</v>
      </c>
      <c r="V12" s="475">
        <v>3.6</v>
      </c>
      <c r="W12" s="475">
        <v>1.3</v>
      </c>
      <c r="X12" s="619">
        <v>7042.5</v>
      </c>
      <c r="Y12" s="563">
        <f t="shared" si="3"/>
        <v>0.5310007230143773</v>
      </c>
      <c r="Z12" s="476" t="s">
        <v>309</v>
      </c>
      <c r="AA12" s="649">
        <f>+S12</f>
        <v>44.8</v>
      </c>
    </row>
    <row r="13" spans="1:27" ht="21.75" customHeight="1">
      <c r="A13" s="267">
        <v>6</v>
      </c>
      <c r="B13" s="475" t="s">
        <v>8</v>
      </c>
      <c r="C13" s="348">
        <v>110.5</v>
      </c>
      <c r="D13" s="342">
        <v>52.1</v>
      </c>
      <c r="E13" s="342">
        <v>26.1</v>
      </c>
      <c r="F13" s="342">
        <v>32.3</v>
      </c>
      <c r="G13" s="558">
        <f t="shared" si="0"/>
        <v>88.69</v>
      </c>
      <c r="H13" s="558">
        <v>15.02</v>
      </c>
      <c r="I13" s="558">
        <v>43.97</v>
      </c>
      <c r="J13" s="558">
        <v>29.7</v>
      </c>
      <c r="K13" s="531"/>
      <c r="L13" s="629">
        <v>11441.72</v>
      </c>
      <c r="M13" s="605">
        <f t="shared" si="1"/>
        <v>4.5726</v>
      </c>
      <c r="N13" s="475">
        <f>+'CL'!N30</f>
        <v>0.335</v>
      </c>
      <c r="O13" s="475">
        <f>+'CL'!O30</f>
        <v>3.4156000000000004</v>
      </c>
      <c r="P13" s="475">
        <f>+'CL'!P30</f>
        <v>0.8220000000000001</v>
      </c>
      <c r="Q13" s="475"/>
      <c r="R13" s="619">
        <f>+'CL'!R30</f>
        <v>133</v>
      </c>
      <c r="S13" s="605">
        <f t="shared" si="2"/>
        <v>35.51</v>
      </c>
      <c r="T13" s="475">
        <f>+'CL'!T30+0.28</f>
        <v>1.6260000000000001</v>
      </c>
      <c r="U13" s="475">
        <f>+'CL'!U30+1.36</f>
        <v>19.233999999999998</v>
      </c>
      <c r="V13" s="475">
        <v>14.65</v>
      </c>
      <c r="W13" s="475"/>
      <c r="X13" s="619">
        <v>5141</v>
      </c>
      <c r="Y13" s="563">
        <f t="shared" si="3"/>
        <v>0.40038335776299466</v>
      </c>
      <c r="Z13" s="476"/>
      <c r="AA13" s="649">
        <f>+S13</f>
        <v>35.51</v>
      </c>
    </row>
    <row r="14" spans="1:27" s="68" customFormat="1" ht="21.75" customHeight="1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0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603">
        <f t="shared" si="1"/>
        <v>5.31</v>
      </c>
      <c r="N14" s="471">
        <f>+'CX'!N32</f>
        <v>0.2</v>
      </c>
      <c r="O14" s="471">
        <f>+'CX'!O32</f>
        <v>2.7099999999999995</v>
      </c>
      <c r="P14" s="471">
        <f>+'CX'!P32</f>
        <v>2.4</v>
      </c>
      <c r="Q14" s="471"/>
      <c r="R14" s="618">
        <f>+'CX'!R32</f>
        <v>0</v>
      </c>
      <c r="S14" s="603">
        <f t="shared" si="2"/>
        <v>40.99</v>
      </c>
      <c r="T14" s="471">
        <v>2.5</v>
      </c>
      <c r="U14" s="471">
        <v>22.82</v>
      </c>
      <c r="V14" s="471">
        <v>15.67</v>
      </c>
      <c r="W14" s="471"/>
      <c r="X14" s="618">
        <v>4089.95</v>
      </c>
      <c r="Y14" s="604">
        <f t="shared" si="3"/>
        <v>0.30745574557455746</v>
      </c>
      <c r="Z14" s="473"/>
      <c r="AA14" s="638">
        <f>+S14</f>
        <v>40.99</v>
      </c>
    </row>
    <row r="15" spans="1:27" s="703" customFormat="1" ht="21.75" customHeight="1">
      <c r="A15" s="691">
        <v>8</v>
      </c>
      <c r="B15" s="692" t="s">
        <v>9</v>
      </c>
      <c r="C15" s="693">
        <v>134.8</v>
      </c>
      <c r="D15" s="694">
        <v>50.8</v>
      </c>
      <c r="E15" s="694">
        <v>57.8</v>
      </c>
      <c r="F15" s="694">
        <v>26.2</v>
      </c>
      <c r="G15" s="695">
        <f t="shared" si="0"/>
        <v>94</v>
      </c>
      <c r="H15" s="695">
        <v>28.09</v>
      </c>
      <c r="I15" s="695">
        <v>48.3</v>
      </c>
      <c r="J15" s="695">
        <v>17.61</v>
      </c>
      <c r="K15" s="696"/>
      <c r="L15" s="697">
        <v>12917.85</v>
      </c>
      <c r="M15" s="698">
        <f t="shared" si="1"/>
        <v>3.15</v>
      </c>
      <c r="N15" s="692">
        <f>+TH!N38</f>
        <v>0</v>
      </c>
      <c r="O15" s="692">
        <f>+TH!O38</f>
        <v>2.65</v>
      </c>
      <c r="P15" s="692">
        <f>+TH!P38</f>
        <v>0.5</v>
      </c>
      <c r="Q15" s="692"/>
      <c r="R15" s="699">
        <f>+TH!R38</f>
        <v>611</v>
      </c>
      <c r="S15" s="698">
        <f t="shared" si="2"/>
        <v>41.517</v>
      </c>
      <c r="T15" s="692">
        <f>+TH!T38+0.697</f>
        <v>8.587</v>
      </c>
      <c r="U15" s="692">
        <f>24.28+2</f>
        <v>26.28</v>
      </c>
      <c r="V15" s="692">
        <f>+TH!V38+1.75</f>
        <v>6.65</v>
      </c>
      <c r="W15" s="692"/>
      <c r="X15" s="699">
        <v>5889.6</v>
      </c>
      <c r="Y15" s="700">
        <f t="shared" si="3"/>
        <v>0.44167021276595747</v>
      </c>
      <c r="Z15" s="701" t="s">
        <v>312</v>
      </c>
      <c r="AA15" s="702">
        <f>+S15+26.6</f>
        <v>68.117</v>
      </c>
    </row>
    <row r="16" spans="1:27" s="68" customFormat="1" ht="21.75" customHeight="1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0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603">
        <f t="shared" si="1"/>
        <v>0.95</v>
      </c>
      <c r="N16" s="471">
        <f>+NX!N21</f>
        <v>0.95</v>
      </c>
      <c r="O16" s="471">
        <f>+NX!O21</f>
        <v>0</v>
      </c>
      <c r="P16" s="471">
        <f>+NX!P21</f>
        <v>0</v>
      </c>
      <c r="Q16" s="471"/>
      <c r="R16" s="618">
        <f>+NX!R21</f>
        <v>263.3</v>
      </c>
      <c r="S16" s="603">
        <f t="shared" si="2"/>
        <v>1.2</v>
      </c>
      <c r="T16" s="471">
        <v>1.2</v>
      </c>
      <c r="U16" s="471">
        <f>+NX!U21</f>
        <v>0</v>
      </c>
      <c r="V16" s="471">
        <f>+NX!V21</f>
        <v>0</v>
      </c>
      <c r="W16" s="471"/>
      <c r="X16" s="618">
        <v>882.73</v>
      </c>
      <c r="Y16" s="604">
        <f t="shared" si="3"/>
        <v>0.031120331950207466</v>
      </c>
      <c r="Z16" s="473"/>
      <c r="AA16" s="638">
        <f>+S16</f>
        <v>1.2</v>
      </c>
    </row>
    <row r="17" spans="1:27" s="706" customFormat="1" ht="19.5" customHeight="1">
      <c r="A17" s="691">
        <v>10</v>
      </c>
      <c r="B17" s="692" t="s">
        <v>11</v>
      </c>
      <c r="C17" s="693">
        <v>101.4</v>
      </c>
      <c r="D17" s="694">
        <v>56.2</v>
      </c>
      <c r="E17" s="694">
        <v>37.3</v>
      </c>
      <c r="F17" s="694">
        <v>8</v>
      </c>
      <c r="G17" s="695">
        <f t="shared" si="0"/>
        <v>92.05999999999999</v>
      </c>
      <c r="H17" s="695">
        <v>51.48</v>
      </c>
      <c r="I17" s="695">
        <v>37.84</v>
      </c>
      <c r="J17" s="695">
        <v>2.74</v>
      </c>
      <c r="K17" s="696"/>
      <c r="L17" s="697">
        <v>14117.22</v>
      </c>
      <c r="M17" s="698">
        <f t="shared" si="1"/>
        <v>2.45</v>
      </c>
      <c r="N17" s="692">
        <f>+KA!J40</f>
        <v>2.25</v>
      </c>
      <c r="O17" s="692">
        <f>+KA!K40</f>
        <v>0.2</v>
      </c>
      <c r="P17" s="692">
        <f>+KA!L40</f>
        <v>0</v>
      </c>
      <c r="Q17" s="692"/>
      <c r="R17" s="699">
        <f>+KA!N40</f>
        <v>578</v>
      </c>
      <c r="S17" s="698">
        <f t="shared" si="2"/>
        <v>30.5</v>
      </c>
      <c r="T17" s="692">
        <v>16.5</v>
      </c>
      <c r="U17" s="692">
        <v>14</v>
      </c>
      <c r="V17" s="692">
        <f>+KA!R40</f>
        <v>0</v>
      </c>
      <c r="W17" s="692"/>
      <c r="X17" s="699">
        <v>5500</v>
      </c>
      <c r="Y17" s="704">
        <f t="shared" si="3"/>
        <v>0.3313056702150772</v>
      </c>
      <c r="Z17" s="701" t="s">
        <v>319</v>
      </c>
      <c r="AA17" s="705">
        <f>+S17+10</f>
        <v>40.5</v>
      </c>
    </row>
    <row r="18" spans="1:27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0"/>
        <v>2.6</v>
      </c>
      <c r="H18" s="607">
        <v>1</v>
      </c>
      <c r="I18" s="607"/>
      <c r="J18" s="607">
        <v>1.6</v>
      </c>
      <c r="K18" s="531"/>
      <c r="L18" s="629">
        <v>438</v>
      </c>
      <c r="M18" s="626">
        <f t="shared" si="1"/>
        <v>0</v>
      </c>
      <c r="N18" s="623">
        <f>+TXHL!N8</f>
        <v>0</v>
      </c>
      <c r="O18" s="623">
        <f>+TXHL!O8</f>
        <v>0</v>
      </c>
      <c r="P18" s="623">
        <f>+TXHL!P8</f>
        <v>0</v>
      </c>
      <c r="Q18" s="623"/>
      <c r="R18" s="618">
        <f>+TXHL!R8</f>
        <v>0</v>
      </c>
      <c r="S18" s="608">
        <f t="shared" si="2"/>
        <v>1.4180000000000001</v>
      </c>
      <c r="T18" s="607">
        <f>0.43+0.22</f>
        <v>0.65</v>
      </c>
      <c r="U18" s="623">
        <f>+TXHL!U8</f>
        <v>0</v>
      </c>
      <c r="V18" s="607">
        <f>+TXHL!V8</f>
        <v>0.768</v>
      </c>
      <c r="W18" s="623"/>
      <c r="X18" s="618">
        <f>+TXHL!X8</f>
        <v>35</v>
      </c>
      <c r="Y18" s="563">
        <f t="shared" si="3"/>
        <v>0.5453846153846155</v>
      </c>
      <c r="Z18" s="476" t="s">
        <v>308</v>
      </c>
      <c r="AA18" s="646">
        <f>+S18+2</f>
        <v>3.418</v>
      </c>
    </row>
    <row r="19" spans="1:27" s="725" customFormat="1" ht="19.5" customHeight="1">
      <c r="A19" s="707">
        <v>12</v>
      </c>
      <c r="B19" s="708" t="s">
        <v>13</v>
      </c>
      <c r="C19" s="709">
        <v>18</v>
      </c>
      <c r="D19" s="710">
        <v>4</v>
      </c>
      <c r="E19" s="710">
        <v>4.4</v>
      </c>
      <c r="F19" s="710">
        <v>9.6</v>
      </c>
      <c r="G19" s="711">
        <f t="shared" si="0"/>
        <v>18</v>
      </c>
      <c r="H19" s="711">
        <v>4</v>
      </c>
      <c r="I19" s="711">
        <v>4.4</v>
      </c>
      <c r="J19" s="711">
        <v>9.6</v>
      </c>
      <c r="K19" s="712"/>
      <c r="L19" s="713">
        <v>2384</v>
      </c>
      <c r="M19" s="714">
        <f t="shared" si="1"/>
        <v>5.5</v>
      </c>
      <c r="N19" s="715">
        <f>+TPHT!N13</f>
        <v>1.6</v>
      </c>
      <c r="O19" s="715">
        <f>+TPHT!O13</f>
        <v>0.2</v>
      </c>
      <c r="P19" s="715">
        <f>+TPHT!P13</f>
        <v>3.7</v>
      </c>
      <c r="Q19" s="716"/>
      <c r="R19" s="717">
        <f>+TPHT!R13</f>
        <v>470</v>
      </c>
      <c r="S19" s="718">
        <f t="shared" si="2"/>
        <v>6.6</v>
      </c>
      <c r="T19" s="719">
        <v>1.4</v>
      </c>
      <c r="U19" s="719">
        <v>0.4</v>
      </c>
      <c r="V19" s="719">
        <v>4.8</v>
      </c>
      <c r="W19" s="720"/>
      <c r="X19" s="721">
        <v>883</v>
      </c>
      <c r="Y19" s="722">
        <f>+S19/G19</f>
        <v>0.36666666666666664</v>
      </c>
      <c r="Z19" s="723"/>
      <c r="AA19" s="724">
        <f>+S19</f>
        <v>6.6</v>
      </c>
    </row>
    <row r="20" spans="1:27" ht="21.75" customHeight="1">
      <c r="A20" s="870" t="s">
        <v>23</v>
      </c>
      <c r="B20" s="871"/>
      <c r="C20" s="478">
        <f aca="true" t="shared" si="4" ref="C20:Q20">+SUM(C8:C19)</f>
        <v>976.8000000000001</v>
      </c>
      <c r="D20" s="479">
        <f t="shared" si="4"/>
        <v>369.9</v>
      </c>
      <c r="E20" s="479">
        <f t="shared" si="4"/>
        <v>358.7</v>
      </c>
      <c r="F20" s="479">
        <f t="shared" si="4"/>
        <v>248.19999999999996</v>
      </c>
      <c r="G20" s="359">
        <f t="shared" si="4"/>
        <v>747.168</v>
      </c>
      <c r="H20" s="652">
        <f t="shared" si="4"/>
        <v>231.515</v>
      </c>
      <c r="I20" s="652">
        <f t="shared" si="4"/>
        <v>317.46799999999996</v>
      </c>
      <c r="J20" s="652">
        <f t="shared" si="4"/>
        <v>195.055</v>
      </c>
      <c r="K20" s="652">
        <f>+SUM(K8:K19)</f>
        <v>3.13</v>
      </c>
      <c r="L20" s="653">
        <f t="shared" si="4"/>
        <v>108098.62800000001</v>
      </c>
      <c r="M20" s="483">
        <f t="shared" si="4"/>
        <v>67.23060000000001</v>
      </c>
      <c r="N20" s="480">
        <f t="shared" si="4"/>
        <v>17.505000000000003</v>
      </c>
      <c r="O20" s="480">
        <f t="shared" si="4"/>
        <v>27.9136</v>
      </c>
      <c r="P20" s="481">
        <f t="shared" si="4"/>
        <v>21.612</v>
      </c>
      <c r="Q20" s="481">
        <f t="shared" si="4"/>
        <v>0.2</v>
      </c>
      <c r="R20" s="654">
        <f aca="true" t="shared" si="5" ref="R20:X20">+SUM(R8:R19)</f>
        <v>6877.102820000001</v>
      </c>
      <c r="S20" s="481">
        <f t="shared" si="5"/>
        <v>287.94500000000005</v>
      </c>
      <c r="T20" s="480">
        <f t="shared" si="5"/>
        <v>61.696</v>
      </c>
      <c r="U20" s="481">
        <f t="shared" si="5"/>
        <v>154.721</v>
      </c>
      <c r="V20" s="481">
        <f t="shared" si="5"/>
        <v>70.22800000000001</v>
      </c>
      <c r="W20" s="481">
        <f t="shared" si="5"/>
        <v>1.3</v>
      </c>
      <c r="X20" s="654">
        <f t="shared" si="5"/>
        <v>39706.492000000006</v>
      </c>
      <c r="Y20" s="655">
        <f>+S20/G20</f>
        <v>0.3853818686025098</v>
      </c>
      <c r="Z20" s="486"/>
      <c r="AA20" s="656">
        <f>SUM(AA8:AA19)</f>
        <v>335.045</v>
      </c>
    </row>
    <row r="21" spans="2:27" ht="30" customHeight="1">
      <c r="B21" s="864" t="s">
        <v>48</v>
      </c>
      <c r="C21" s="865"/>
      <c r="D21" s="865"/>
      <c r="E21" s="865"/>
      <c r="F21" s="865"/>
      <c r="G21" s="865"/>
      <c r="H21" s="865"/>
      <c r="I21" s="865"/>
      <c r="J21" s="865"/>
      <c r="K21" s="865"/>
      <c r="L21" s="865"/>
      <c r="M21" s="865"/>
      <c r="N21" s="865"/>
      <c r="O21" s="865"/>
      <c r="P21" s="865"/>
      <c r="Q21" s="865"/>
      <c r="R21" s="865"/>
      <c r="S21" s="865"/>
      <c r="T21" s="865"/>
      <c r="U21" s="865"/>
      <c r="V21" s="865"/>
      <c r="W21" s="865"/>
      <c r="X21" s="865"/>
      <c r="Y21" s="865"/>
      <c r="Z21" s="865"/>
      <c r="AA21" s="657"/>
    </row>
    <row r="22" spans="2:25" ht="15">
      <c r="B22" s="162"/>
      <c r="R22" s="164"/>
      <c r="U22" s="36"/>
      <c r="X22" s="165"/>
      <c r="Y22" s="166"/>
    </row>
    <row r="23" spans="2:24" ht="15">
      <c r="B23" s="659"/>
      <c r="G23" s="167"/>
      <c r="N23" s="36"/>
      <c r="S23" s="168"/>
      <c r="X23" s="169"/>
    </row>
    <row r="47" spans="21:25" ht="15">
      <c r="U47" s="465">
        <v>3.457</v>
      </c>
      <c r="V47" s="465">
        <v>14.248</v>
      </c>
      <c r="W47" s="465">
        <v>7.3</v>
      </c>
      <c r="X47" s="465"/>
      <c r="Y47" s="616">
        <v>4856</v>
      </c>
    </row>
  </sheetData>
  <sheetProtection/>
  <mergeCells count="25">
    <mergeCell ref="A1:Z1"/>
    <mergeCell ref="A2:Z2"/>
    <mergeCell ref="A3:Z3"/>
    <mergeCell ref="A4:A6"/>
    <mergeCell ref="B4:B6"/>
    <mergeCell ref="X5:X6"/>
    <mergeCell ref="C4:F4"/>
    <mergeCell ref="G4:L4"/>
    <mergeCell ref="M4:R4"/>
    <mergeCell ref="A20:B20"/>
    <mergeCell ref="L5:L6"/>
    <mergeCell ref="M5:M6"/>
    <mergeCell ref="N5:Q5"/>
    <mergeCell ref="R5:R6"/>
    <mergeCell ref="S5:S6"/>
    <mergeCell ref="B21:Z21"/>
    <mergeCell ref="Z4:Z6"/>
    <mergeCell ref="AA4:AA6"/>
    <mergeCell ref="C5:C6"/>
    <mergeCell ref="D5:F5"/>
    <mergeCell ref="G5:G6"/>
    <mergeCell ref="H5:K5"/>
    <mergeCell ref="S4:X4"/>
    <mergeCell ref="Y4:Y6"/>
    <mergeCell ref="T5:W5"/>
  </mergeCells>
  <printOptions/>
  <pageMargins left="0.2" right="0.2" top="0.58" bottom="0.36" header="0.31496062992125984" footer="0.31496062992125984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47"/>
  <sheetViews>
    <sheetView zoomScalePageLayoutView="115" workbookViewId="0" topLeftCell="A7">
      <selection activeCell="S10" sqref="S10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hidden="1" customWidth="1"/>
    <col min="14" max="18" width="6.625" style="26" hidden="1" customWidth="1"/>
    <col min="19" max="19" width="6.625" style="163" customWidth="1"/>
    <col min="20" max="24" width="6.625" style="26" customWidth="1"/>
    <col min="25" max="25" width="7.125" style="26" customWidth="1"/>
    <col min="26" max="26" width="45.25390625" style="26" bestFit="1" customWidth="1"/>
    <col min="27" max="27" width="13.875" style="649" customWidth="1"/>
    <col min="28" max="28" width="10.625" style="26" customWidth="1"/>
    <col min="29" max="29" width="20.875" style="26" customWidth="1"/>
    <col min="30" max="32" width="9.00390625" style="26" customWidth="1"/>
    <col min="33" max="16384" width="9.00390625" style="26" customWidth="1"/>
  </cols>
  <sheetData>
    <row r="1" spans="1:29" ht="30" customHeight="1">
      <c r="A1" s="856" t="s">
        <v>36</v>
      </c>
      <c r="B1" s="856"/>
      <c r="C1" s="856"/>
      <c r="D1" s="856"/>
      <c r="E1" s="856"/>
      <c r="F1" s="856"/>
      <c r="G1" s="856"/>
      <c r="H1" s="856"/>
      <c r="I1" s="856"/>
      <c r="J1" s="856"/>
      <c r="K1" s="856"/>
      <c r="L1" s="856"/>
      <c r="M1" s="856"/>
      <c r="N1" s="856"/>
      <c r="O1" s="856"/>
      <c r="P1" s="856"/>
      <c r="Q1" s="856"/>
      <c r="R1" s="856"/>
      <c r="S1" s="856"/>
      <c r="T1" s="856"/>
      <c r="U1" s="856"/>
      <c r="V1" s="856"/>
      <c r="W1" s="856"/>
      <c r="X1" s="856"/>
      <c r="Y1" s="856"/>
      <c r="Z1" s="856"/>
      <c r="AA1" s="636"/>
      <c r="AB1" s="146"/>
      <c r="AC1" s="146"/>
    </row>
    <row r="2" spans="1:29" s="148" customFormat="1" ht="22.5" customHeight="1">
      <c r="A2" s="857" t="s">
        <v>317</v>
      </c>
      <c r="B2" s="857"/>
      <c r="C2" s="857"/>
      <c r="D2" s="857"/>
      <c r="E2" s="857"/>
      <c r="F2" s="857"/>
      <c r="G2" s="857"/>
      <c r="H2" s="857"/>
      <c r="I2" s="857"/>
      <c r="J2" s="857"/>
      <c r="K2" s="857"/>
      <c r="L2" s="857"/>
      <c r="M2" s="857"/>
      <c r="N2" s="857"/>
      <c r="O2" s="857"/>
      <c r="P2" s="857"/>
      <c r="Q2" s="857"/>
      <c r="R2" s="857"/>
      <c r="S2" s="857"/>
      <c r="T2" s="857"/>
      <c r="U2" s="857"/>
      <c r="V2" s="857"/>
      <c r="W2" s="857"/>
      <c r="X2" s="857"/>
      <c r="Y2" s="857"/>
      <c r="Z2" s="857"/>
      <c r="AA2" s="637"/>
      <c r="AB2" s="147"/>
      <c r="AC2" s="147"/>
    </row>
    <row r="3" spans="1:29" s="148" customFormat="1" ht="22.5" customHeight="1">
      <c r="A3" s="858"/>
      <c r="B3" s="858"/>
      <c r="C3" s="858"/>
      <c r="D3" s="858"/>
      <c r="E3" s="858"/>
      <c r="F3" s="858"/>
      <c r="G3" s="858"/>
      <c r="H3" s="858"/>
      <c r="I3" s="858"/>
      <c r="J3" s="858"/>
      <c r="K3" s="858"/>
      <c r="L3" s="858"/>
      <c r="M3" s="858"/>
      <c r="N3" s="858"/>
      <c r="O3" s="858"/>
      <c r="P3" s="858"/>
      <c r="Q3" s="858"/>
      <c r="R3" s="858"/>
      <c r="S3" s="858"/>
      <c r="T3" s="858"/>
      <c r="U3" s="858"/>
      <c r="V3" s="858"/>
      <c r="W3" s="858"/>
      <c r="X3" s="858"/>
      <c r="Y3" s="858"/>
      <c r="Z3" s="858"/>
      <c r="AA3" s="658"/>
      <c r="AB3" s="147"/>
      <c r="AC3" s="147"/>
    </row>
    <row r="4" spans="1:28" s="151" customFormat="1" ht="46.5" customHeight="1">
      <c r="A4" s="859" t="s">
        <v>0</v>
      </c>
      <c r="B4" s="860" t="s">
        <v>1</v>
      </c>
      <c r="C4" s="861" t="s">
        <v>25</v>
      </c>
      <c r="D4" s="861"/>
      <c r="E4" s="861"/>
      <c r="F4" s="861"/>
      <c r="G4" s="845" t="s">
        <v>26</v>
      </c>
      <c r="H4" s="846"/>
      <c r="I4" s="846"/>
      <c r="J4" s="846"/>
      <c r="K4" s="846"/>
      <c r="L4" s="847"/>
      <c r="M4" s="845"/>
      <c r="N4" s="846"/>
      <c r="O4" s="846"/>
      <c r="P4" s="846"/>
      <c r="Q4" s="846"/>
      <c r="R4" s="847"/>
      <c r="S4" s="848" t="s">
        <v>307</v>
      </c>
      <c r="T4" s="849"/>
      <c r="U4" s="849"/>
      <c r="V4" s="849"/>
      <c r="W4" s="849"/>
      <c r="X4" s="850"/>
      <c r="Y4" s="866" t="s">
        <v>43</v>
      </c>
      <c r="Z4" s="859" t="s">
        <v>14</v>
      </c>
      <c r="AA4" s="867" t="s">
        <v>313</v>
      </c>
      <c r="AB4" s="150"/>
    </row>
    <row r="5" spans="1:29" s="151" customFormat="1" ht="14.25" customHeight="1">
      <c r="A5" s="859"/>
      <c r="B5" s="860"/>
      <c r="C5" s="861" t="s">
        <v>20</v>
      </c>
      <c r="D5" s="868" t="s">
        <v>21</v>
      </c>
      <c r="E5" s="868"/>
      <c r="F5" s="868"/>
      <c r="G5" s="860" t="s">
        <v>38</v>
      </c>
      <c r="H5" s="869" t="s">
        <v>21</v>
      </c>
      <c r="I5" s="869"/>
      <c r="J5" s="869"/>
      <c r="K5" s="869"/>
      <c r="L5" s="854" t="s">
        <v>202</v>
      </c>
      <c r="M5" s="860" t="s">
        <v>38</v>
      </c>
      <c r="N5" s="851" t="s">
        <v>21</v>
      </c>
      <c r="O5" s="852"/>
      <c r="P5" s="852"/>
      <c r="Q5" s="853"/>
      <c r="R5" s="854" t="s">
        <v>37</v>
      </c>
      <c r="S5" s="860" t="s">
        <v>38</v>
      </c>
      <c r="T5" s="851" t="s">
        <v>21</v>
      </c>
      <c r="U5" s="852"/>
      <c r="V5" s="852"/>
      <c r="W5" s="853"/>
      <c r="X5" s="854" t="s">
        <v>37</v>
      </c>
      <c r="Y5" s="866"/>
      <c r="Z5" s="859"/>
      <c r="AA5" s="867"/>
      <c r="AB5" s="152"/>
      <c r="AC5" s="153"/>
    </row>
    <row r="6" spans="1:29" s="151" customFormat="1" ht="76.5">
      <c r="A6" s="859"/>
      <c r="B6" s="860"/>
      <c r="C6" s="861"/>
      <c r="D6" s="154" t="s">
        <v>17</v>
      </c>
      <c r="E6" s="154" t="s">
        <v>18</v>
      </c>
      <c r="F6" s="154" t="s">
        <v>19</v>
      </c>
      <c r="G6" s="860"/>
      <c r="H6" s="149" t="s">
        <v>39</v>
      </c>
      <c r="I6" s="149" t="s">
        <v>40</v>
      </c>
      <c r="J6" s="149" t="s">
        <v>41</v>
      </c>
      <c r="K6" s="149" t="s">
        <v>42</v>
      </c>
      <c r="L6" s="855"/>
      <c r="M6" s="860"/>
      <c r="N6" s="149" t="s">
        <v>39</v>
      </c>
      <c r="O6" s="149" t="s">
        <v>40</v>
      </c>
      <c r="P6" s="149" t="s">
        <v>41</v>
      </c>
      <c r="Q6" s="149" t="s">
        <v>42</v>
      </c>
      <c r="R6" s="855"/>
      <c r="S6" s="860"/>
      <c r="T6" s="149" t="s">
        <v>39</v>
      </c>
      <c r="U6" s="149" t="s">
        <v>40</v>
      </c>
      <c r="V6" s="149" t="s">
        <v>41</v>
      </c>
      <c r="W6" s="149" t="s">
        <v>42</v>
      </c>
      <c r="X6" s="855"/>
      <c r="Y6" s="866"/>
      <c r="Z6" s="859"/>
      <c r="AA6" s="867"/>
      <c r="AB6" s="155"/>
      <c r="AC6" s="153"/>
    </row>
    <row r="7" spans="1:29" s="148" customFormat="1" ht="17.25" customHeight="1">
      <c r="A7" s="639">
        <v>1</v>
      </c>
      <c r="B7" s="640">
        <v>2</v>
      </c>
      <c r="C7" s="641"/>
      <c r="D7" s="641"/>
      <c r="E7" s="641"/>
      <c r="F7" s="641"/>
      <c r="G7" s="640">
        <v>3</v>
      </c>
      <c r="H7" s="642">
        <v>4</v>
      </c>
      <c r="I7" s="642">
        <v>5</v>
      </c>
      <c r="J7" s="642">
        <v>6</v>
      </c>
      <c r="K7" s="642">
        <v>7</v>
      </c>
      <c r="L7" s="642">
        <v>8</v>
      </c>
      <c r="M7" s="642">
        <v>9</v>
      </c>
      <c r="N7" s="642">
        <v>10</v>
      </c>
      <c r="O7" s="642">
        <v>11</v>
      </c>
      <c r="P7" s="642">
        <v>12</v>
      </c>
      <c r="Q7" s="642">
        <v>13</v>
      </c>
      <c r="R7" s="642">
        <v>14</v>
      </c>
      <c r="S7" s="642">
        <v>15</v>
      </c>
      <c r="T7" s="642">
        <v>16</v>
      </c>
      <c r="U7" s="642">
        <v>17</v>
      </c>
      <c r="V7" s="642">
        <v>18</v>
      </c>
      <c r="W7" s="642">
        <v>19</v>
      </c>
      <c r="X7" s="642">
        <v>20</v>
      </c>
      <c r="Y7" s="640" t="s">
        <v>47</v>
      </c>
      <c r="Z7" s="689">
        <v>22</v>
      </c>
      <c r="AA7" s="643"/>
      <c r="AB7" s="155"/>
      <c r="AC7" s="643"/>
    </row>
    <row r="8" spans="1:28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6645.867999999999</v>
      </c>
      <c r="M8" s="599">
        <f>SUM(N8:Q8)</f>
        <v>17.36</v>
      </c>
      <c r="N8" s="545">
        <f>+LH!N20</f>
        <v>2.5300000000000002</v>
      </c>
      <c r="O8" s="545">
        <f>+LH!O20</f>
        <v>7.53</v>
      </c>
      <c r="P8" s="545">
        <f>+LH!P20</f>
        <v>7.3</v>
      </c>
      <c r="Q8" s="545"/>
      <c r="R8" s="627">
        <f>+LH!R20</f>
        <v>1312</v>
      </c>
      <c r="S8" s="547">
        <f>SUM(T8:W8)</f>
        <v>23.725</v>
      </c>
      <c r="T8" s="465">
        <v>3.227</v>
      </c>
      <c r="U8" s="465">
        <v>13.198</v>
      </c>
      <c r="V8" s="465">
        <v>7.3</v>
      </c>
      <c r="W8" s="465"/>
      <c r="X8" s="616">
        <v>4468</v>
      </c>
      <c r="Y8" s="549">
        <f>+S8/G8</f>
        <v>0.681165661785817</v>
      </c>
      <c r="Z8" s="688" t="s">
        <v>311</v>
      </c>
      <c r="AA8" s="646">
        <f>+S8+4</f>
        <v>27.725</v>
      </c>
      <c r="AB8" s="71"/>
    </row>
    <row r="9" spans="1:27" s="68" customFormat="1" ht="24" customHeight="1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0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9955.8</v>
      </c>
      <c r="M9" s="449">
        <f aca="true" t="shared" si="1" ref="M9:M19">SUM(N9:Q9)</f>
        <v>4.508</v>
      </c>
      <c r="N9" s="342">
        <f>+'HS'!J36</f>
        <v>2.16</v>
      </c>
      <c r="O9" s="342">
        <f>+'HS'!K36</f>
        <v>2.148</v>
      </c>
      <c r="P9" s="342">
        <f>+'HS'!L36</f>
        <v>0.2</v>
      </c>
      <c r="Q9" s="342"/>
      <c r="R9" s="647">
        <f>+'HS'!N36</f>
        <v>874.4028200000001</v>
      </c>
      <c r="S9" s="648">
        <f aca="true" t="shared" si="2" ref="S9:S19">SUM(T9:W9)</f>
        <v>20.499000000000002</v>
      </c>
      <c r="T9" s="342">
        <f>+'HS'!P36</f>
        <v>6.84</v>
      </c>
      <c r="U9" s="690">
        <f>+'HS'!Q36+2+2.46</f>
        <v>12.309000000000001</v>
      </c>
      <c r="V9" s="342">
        <f>+'HS'!R36</f>
        <v>1.3499999999999999</v>
      </c>
      <c r="W9" s="342"/>
      <c r="X9" s="647">
        <f>+'HS'!T36</f>
        <v>2196.712</v>
      </c>
      <c r="Y9" s="604">
        <f aca="true" t="shared" si="3" ref="Y9:Y18">+S9/G9</f>
        <v>0.35502866346836637</v>
      </c>
      <c r="Z9" s="645" t="s">
        <v>314</v>
      </c>
      <c r="AA9" s="646">
        <f>+S9</f>
        <v>20.499000000000002</v>
      </c>
    </row>
    <row r="10" spans="1:30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0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603">
        <f t="shared" si="1"/>
        <v>6.700000000000001</v>
      </c>
      <c r="N10" s="471">
        <f>+VQ!N17</f>
        <v>1.25</v>
      </c>
      <c r="O10" s="471">
        <f>+VQ!O17</f>
        <v>2.1300000000000003</v>
      </c>
      <c r="P10" s="471">
        <f>+VQ!P17</f>
        <v>3.3200000000000003</v>
      </c>
      <c r="Q10" s="471"/>
      <c r="R10" s="618">
        <f>+VQ!R17</f>
        <v>969</v>
      </c>
      <c r="S10" s="603">
        <f>SUM(T10:W10)</f>
        <v>17</v>
      </c>
      <c r="T10" s="471">
        <v>3.44</v>
      </c>
      <c r="U10" s="471">
        <v>8.17</v>
      </c>
      <c r="V10" s="471">
        <v>5.39</v>
      </c>
      <c r="W10" s="471"/>
      <c r="X10" s="618">
        <v>2941</v>
      </c>
      <c r="Y10" s="604">
        <f t="shared" si="3"/>
        <v>0.3953488372093023</v>
      </c>
      <c r="Z10" s="473"/>
      <c r="AA10" s="638">
        <f>+S10</f>
        <v>17</v>
      </c>
      <c r="AD10" s="77"/>
    </row>
    <row r="11" spans="1:27" ht="23.25" customHeight="1">
      <c r="A11" s="267">
        <v>4</v>
      </c>
      <c r="B11" s="475" t="s">
        <v>6</v>
      </c>
      <c r="C11" s="348">
        <f>+D11+E11+F11</f>
        <v>60</v>
      </c>
      <c r="D11" s="342">
        <v>17</v>
      </c>
      <c r="E11" s="342">
        <v>18</v>
      </c>
      <c r="F11" s="342">
        <v>25</v>
      </c>
      <c r="G11" s="558">
        <f t="shared" si="0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605">
        <f t="shared" si="1"/>
        <v>2.67</v>
      </c>
      <c r="N11" s="475">
        <f>+'DT'!J35</f>
        <v>0.7</v>
      </c>
      <c r="O11" s="475">
        <f>+'DT'!K35</f>
        <v>0</v>
      </c>
      <c r="P11" s="475">
        <f>+'DT'!L35</f>
        <v>1.97</v>
      </c>
      <c r="Q11" s="475"/>
      <c r="R11" s="619">
        <f>+'DT'!N35</f>
        <v>0</v>
      </c>
      <c r="S11" s="605">
        <f t="shared" si="2"/>
        <v>20.53</v>
      </c>
      <c r="T11" s="475">
        <f>+'DT'!P35</f>
        <v>3.1</v>
      </c>
      <c r="U11" s="475">
        <f>4.7+3.01</f>
        <v>7.71</v>
      </c>
      <c r="V11" s="475">
        <f>+'DT'!R35+3</f>
        <v>9.72</v>
      </c>
      <c r="W11" s="475"/>
      <c r="X11" s="619">
        <v>637</v>
      </c>
      <c r="Y11" s="563">
        <f t="shared" si="3"/>
        <v>0.3421666666666667</v>
      </c>
      <c r="Z11" s="645" t="s">
        <v>310</v>
      </c>
      <c r="AA11" s="649">
        <f>+S11+4.5</f>
        <v>25.03</v>
      </c>
    </row>
    <row r="12" spans="1:27" ht="24.75" customHeight="1">
      <c r="A12" s="267">
        <v>5</v>
      </c>
      <c r="B12" s="475" t="s">
        <v>7</v>
      </c>
      <c r="C12" s="348">
        <v>83.4</v>
      </c>
      <c r="D12" s="342">
        <v>28.9</v>
      </c>
      <c r="E12" s="342">
        <v>45.8</v>
      </c>
      <c r="F12" s="342">
        <v>8.7</v>
      </c>
      <c r="G12" s="558">
        <f t="shared" si="0"/>
        <v>84.369</v>
      </c>
      <c r="H12" s="558">
        <v>20.07</v>
      </c>
      <c r="I12" s="558">
        <v>54.049</v>
      </c>
      <c r="J12" s="558">
        <v>7.12</v>
      </c>
      <c r="K12" s="531">
        <v>3.13</v>
      </c>
      <c r="L12" s="629">
        <v>11267.87</v>
      </c>
      <c r="M12" s="605">
        <f t="shared" si="1"/>
        <v>14.06</v>
      </c>
      <c r="N12" s="475">
        <f>+'HK'!J29</f>
        <v>5.53</v>
      </c>
      <c r="O12" s="475">
        <f>+'HK'!K29</f>
        <v>6.93</v>
      </c>
      <c r="P12" s="475">
        <f>+'HK'!L29</f>
        <v>1.4000000000000001</v>
      </c>
      <c r="Q12" s="475">
        <f>+'HK'!M29</f>
        <v>0.2</v>
      </c>
      <c r="R12" s="619">
        <f>+'HK'!N29</f>
        <v>1666.4</v>
      </c>
      <c r="S12" s="605">
        <f t="shared" si="2"/>
        <v>44.8</v>
      </c>
      <c r="T12" s="475">
        <v>11.7</v>
      </c>
      <c r="U12" s="475">
        <v>28.2</v>
      </c>
      <c r="V12" s="475">
        <v>3.6</v>
      </c>
      <c r="W12" s="475">
        <v>1.3</v>
      </c>
      <c r="X12" s="619">
        <v>7042.5</v>
      </c>
      <c r="Y12" s="563">
        <f t="shared" si="3"/>
        <v>0.5310007230143773</v>
      </c>
      <c r="Z12" s="476" t="s">
        <v>309</v>
      </c>
      <c r="AA12" s="649">
        <f>+S12</f>
        <v>44.8</v>
      </c>
    </row>
    <row r="13" spans="1:27" ht="21.75" customHeight="1">
      <c r="A13" s="267">
        <v>6</v>
      </c>
      <c r="B13" s="475" t="s">
        <v>8</v>
      </c>
      <c r="C13" s="348">
        <v>110.5</v>
      </c>
      <c r="D13" s="342">
        <v>52.1</v>
      </c>
      <c r="E13" s="342">
        <v>26.1</v>
      </c>
      <c r="F13" s="342">
        <v>32.3</v>
      </c>
      <c r="G13" s="558">
        <f t="shared" si="0"/>
        <v>88.69</v>
      </c>
      <c r="H13" s="558">
        <v>15.02</v>
      </c>
      <c r="I13" s="558">
        <v>43.97</v>
      </c>
      <c r="J13" s="558">
        <v>29.7</v>
      </c>
      <c r="K13" s="531"/>
      <c r="L13" s="629">
        <v>11441.72</v>
      </c>
      <c r="M13" s="605">
        <f t="shared" si="1"/>
        <v>4.5726</v>
      </c>
      <c r="N13" s="475">
        <f>+'CL'!N30</f>
        <v>0.335</v>
      </c>
      <c r="O13" s="475">
        <f>+'CL'!O30</f>
        <v>3.4156000000000004</v>
      </c>
      <c r="P13" s="475">
        <f>+'CL'!P30</f>
        <v>0.8220000000000001</v>
      </c>
      <c r="Q13" s="475"/>
      <c r="R13" s="619">
        <f>+'CL'!R30</f>
        <v>133</v>
      </c>
      <c r="S13" s="605">
        <f t="shared" si="2"/>
        <v>34.8</v>
      </c>
      <c r="T13" s="475">
        <f>+'CL'!T30</f>
        <v>1.346</v>
      </c>
      <c r="U13" s="475">
        <f>+'CL'!U30+1.36</f>
        <v>19.233999999999998</v>
      </c>
      <c r="V13" s="475">
        <f>+'CL'!V30</f>
        <v>14.22</v>
      </c>
      <c r="W13" s="475"/>
      <c r="X13" s="619">
        <v>5141</v>
      </c>
      <c r="Y13" s="563">
        <f t="shared" si="3"/>
        <v>0.39237794565339945</v>
      </c>
      <c r="Z13" s="476"/>
      <c r="AA13" s="649">
        <f>+S13</f>
        <v>34.8</v>
      </c>
    </row>
    <row r="14" spans="1:27" s="68" customFormat="1" ht="21.75" customHeight="1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0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603">
        <f t="shared" si="1"/>
        <v>5.31</v>
      </c>
      <c r="N14" s="471">
        <f>+'CX'!N32</f>
        <v>0.2</v>
      </c>
      <c r="O14" s="471">
        <f>+'CX'!O32</f>
        <v>2.7099999999999995</v>
      </c>
      <c r="P14" s="471">
        <f>+'CX'!P32</f>
        <v>2.4</v>
      </c>
      <c r="Q14" s="471"/>
      <c r="R14" s="618">
        <f>+'CX'!R32</f>
        <v>0</v>
      </c>
      <c r="S14" s="603">
        <f t="shared" si="2"/>
        <v>34.67</v>
      </c>
      <c r="T14" s="471">
        <v>2.5</v>
      </c>
      <c r="U14" s="471">
        <f>19.38+2.54</f>
        <v>21.919999999999998</v>
      </c>
      <c r="V14" s="471">
        <v>10.25</v>
      </c>
      <c r="W14" s="471"/>
      <c r="X14" s="618">
        <v>3622.35</v>
      </c>
      <c r="Y14" s="604">
        <f t="shared" si="3"/>
        <v>0.2600510051005101</v>
      </c>
      <c r="Z14" s="473"/>
      <c r="AA14" s="638">
        <f>+S14</f>
        <v>34.67</v>
      </c>
    </row>
    <row r="15" spans="1:27" ht="21.75" customHeight="1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0"/>
        <v>94</v>
      </c>
      <c r="H15" s="558">
        <v>28.09</v>
      </c>
      <c r="I15" s="558">
        <v>48.3</v>
      </c>
      <c r="J15" s="558">
        <v>17.61</v>
      </c>
      <c r="K15" s="531"/>
      <c r="L15" s="629">
        <v>12917.85</v>
      </c>
      <c r="M15" s="603">
        <f t="shared" si="1"/>
        <v>3.15</v>
      </c>
      <c r="N15" s="471">
        <f>+TH!N38</f>
        <v>0</v>
      </c>
      <c r="O15" s="471">
        <f>+TH!O38</f>
        <v>2.65</v>
      </c>
      <c r="P15" s="471">
        <f>+TH!P38</f>
        <v>0.5</v>
      </c>
      <c r="Q15" s="471"/>
      <c r="R15" s="618">
        <f>+TH!R38</f>
        <v>611</v>
      </c>
      <c r="S15" s="603">
        <f t="shared" si="2"/>
        <v>40.82</v>
      </c>
      <c r="T15" s="471">
        <f>+TH!T38</f>
        <v>7.890000000000001</v>
      </c>
      <c r="U15" s="471">
        <f>24.28+2</f>
        <v>26.28</v>
      </c>
      <c r="V15" s="471">
        <f>+TH!V38+1.75</f>
        <v>6.65</v>
      </c>
      <c r="W15" s="471"/>
      <c r="X15" s="618">
        <v>5729.6</v>
      </c>
      <c r="Y15" s="604">
        <f t="shared" si="3"/>
        <v>0.43425531914893617</v>
      </c>
      <c r="Z15" s="476" t="s">
        <v>312</v>
      </c>
      <c r="AA15" s="649">
        <f>+S15+26.6</f>
        <v>67.42</v>
      </c>
    </row>
    <row r="16" spans="1:27" s="68" customFormat="1" ht="21.75" customHeight="1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0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603">
        <f t="shared" si="1"/>
        <v>0.95</v>
      </c>
      <c r="N16" s="471">
        <f>+NX!N21</f>
        <v>0.95</v>
      </c>
      <c r="O16" s="471">
        <f>+NX!O21</f>
        <v>0</v>
      </c>
      <c r="P16" s="471">
        <f>+NX!P21</f>
        <v>0</v>
      </c>
      <c r="Q16" s="471"/>
      <c r="R16" s="618">
        <f>+NX!R21</f>
        <v>263.3</v>
      </c>
      <c r="S16" s="603">
        <f t="shared" si="2"/>
        <v>1.2</v>
      </c>
      <c r="T16" s="471">
        <v>1.2</v>
      </c>
      <c r="U16" s="471">
        <f>+NX!U21</f>
        <v>0</v>
      </c>
      <c r="V16" s="471">
        <f>+NX!V21</f>
        <v>0</v>
      </c>
      <c r="W16" s="471"/>
      <c r="X16" s="618">
        <v>882.73</v>
      </c>
      <c r="Y16" s="604">
        <f t="shared" si="3"/>
        <v>0.031120331950207466</v>
      </c>
      <c r="Z16" s="473"/>
      <c r="AA16" s="638">
        <f>+S16</f>
        <v>1.2</v>
      </c>
    </row>
    <row r="17" spans="1:27" s="68" customFormat="1" ht="19.5" customHeight="1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0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14117.22</v>
      </c>
      <c r="M17" s="603">
        <f t="shared" si="1"/>
        <v>2.45</v>
      </c>
      <c r="N17" s="471">
        <f>+KA!J40</f>
        <v>2.25</v>
      </c>
      <c r="O17" s="471">
        <f>+KA!K40</f>
        <v>0.2</v>
      </c>
      <c r="P17" s="471">
        <f>+KA!L40</f>
        <v>0</v>
      </c>
      <c r="Q17" s="471"/>
      <c r="R17" s="618">
        <f>+KA!N40</f>
        <v>578</v>
      </c>
      <c r="S17" s="603">
        <f t="shared" si="2"/>
        <v>24</v>
      </c>
      <c r="T17" s="471">
        <v>13</v>
      </c>
      <c r="U17" s="471">
        <v>11</v>
      </c>
      <c r="V17" s="471">
        <f>+KA!R40</f>
        <v>0</v>
      </c>
      <c r="W17" s="471"/>
      <c r="X17" s="618">
        <v>5500</v>
      </c>
      <c r="Y17" s="563">
        <f t="shared" si="3"/>
        <v>0.2606995437757984</v>
      </c>
      <c r="Z17" s="476" t="s">
        <v>316</v>
      </c>
      <c r="AA17" s="638">
        <f>+S17+10</f>
        <v>34</v>
      </c>
    </row>
    <row r="18" spans="1:27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0"/>
        <v>2.6</v>
      </c>
      <c r="H18" s="607">
        <v>1</v>
      </c>
      <c r="I18" s="607"/>
      <c r="J18" s="607">
        <v>1.6</v>
      </c>
      <c r="K18" s="531"/>
      <c r="L18" s="629">
        <v>438</v>
      </c>
      <c r="M18" s="626">
        <f t="shared" si="1"/>
        <v>0</v>
      </c>
      <c r="N18" s="623">
        <f>+TXHL!N8</f>
        <v>0</v>
      </c>
      <c r="O18" s="623">
        <f>+TXHL!O8</f>
        <v>0</v>
      </c>
      <c r="P18" s="623">
        <f>+TXHL!P8</f>
        <v>0</v>
      </c>
      <c r="Q18" s="623"/>
      <c r="R18" s="618">
        <f>+TXHL!R8</f>
        <v>0</v>
      </c>
      <c r="S18" s="608">
        <f t="shared" si="2"/>
        <v>1.4180000000000001</v>
      </c>
      <c r="T18" s="607">
        <f>0.43+0.22</f>
        <v>0.65</v>
      </c>
      <c r="U18" s="623">
        <f>+TXHL!U8</f>
        <v>0</v>
      </c>
      <c r="V18" s="607">
        <f>+TXHL!V8</f>
        <v>0.768</v>
      </c>
      <c r="W18" s="623"/>
      <c r="X18" s="618">
        <f>+TXHL!X8</f>
        <v>35</v>
      </c>
      <c r="Y18" s="563">
        <f t="shared" si="3"/>
        <v>0.5453846153846155</v>
      </c>
      <c r="Z18" s="476" t="s">
        <v>308</v>
      </c>
      <c r="AA18" s="646">
        <f>+S18+2</f>
        <v>3.418</v>
      </c>
    </row>
    <row r="19" spans="1:27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0"/>
        <v>18</v>
      </c>
      <c r="H19" s="650">
        <v>4</v>
      </c>
      <c r="I19" s="650">
        <v>4.4</v>
      </c>
      <c r="J19" s="650">
        <v>9.6</v>
      </c>
      <c r="K19" s="651"/>
      <c r="L19" s="630">
        <v>2384</v>
      </c>
      <c r="M19" s="581">
        <f t="shared" si="1"/>
        <v>5.5</v>
      </c>
      <c r="N19" s="582">
        <f>+TPHT!N13</f>
        <v>1.6</v>
      </c>
      <c r="O19" s="582">
        <f>+TPHT!O13</f>
        <v>0.2</v>
      </c>
      <c r="P19" s="582">
        <f>+TPHT!P13</f>
        <v>3.7</v>
      </c>
      <c r="Q19" s="625"/>
      <c r="R19" s="628">
        <f>+TPHT!R13</f>
        <v>470</v>
      </c>
      <c r="S19" s="584">
        <f t="shared" si="2"/>
        <v>5.699999999999999</v>
      </c>
      <c r="T19" s="585">
        <v>1.7</v>
      </c>
      <c r="U19" s="585">
        <f>+TPHT!U13</f>
        <v>0.2</v>
      </c>
      <c r="V19" s="585">
        <v>3.8</v>
      </c>
      <c r="W19" s="624"/>
      <c r="X19" s="621">
        <v>640</v>
      </c>
      <c r="Y19" s="610">
        <f>+S19/G19</f>
        <v>0.31666666666666665</v>
      </c>
      <c r="Z19" s="587"/>
      <c r="AA19" s="646">
        <f>+S19</f>
        <v>5.699999999999999</v>
      </c>
    </row>
    <row r="20" spans="1:27" ht="21.75" customHeight="1">
      <c r="A20" s="870" t="s">
        <v>23</v>
      </c>
      <c r="B20" s="871"/>
      <c r="C20" s="478">
        <f aca="true" t="shared" si="4" ref="C20:Q20">+SUM(C8:C19)</f>
        <v>976.8000000000001</v>
      </c>
      <c r="D20" s="479">
        <f t="shared" si="4"/>
        <v>369.9</v>
      </c>
      <c r="E20" s="479">
        <f t="shared" si="4"/>
        <v>358.7</v>
      </c>
      <c r="F20" s="479">
        <f t="shared" si="4"/>
        <v>248.19999999999996</v>
      </c>
      <c r="G20" s="359">
        <f t="shared" si="4"/>
        <v>747.168</v>
      </c>
      <c r="H20" s="652">
        <f t="shared" si="4"/>
        <v>231.515</v>
      </c>
      <c r="I20" s="652">
        <f t="shared" si="4"/>
        <v>317.46799999999996</v>
      </c>
      <c r="J20" s="652">
        <f t="shared" si="4"/>
        <v>195.055</v>
      </c>
      <c r="K20" s="652">
        <f>+SUM(K8:K19)</f>
        <v>3.13</v>
      </c>
      <c r="L20" s="653">
        <f t="shared" si="4"/>
        <v>108098.62800000001</v>
      </c>
      <c r="M20" s="483">
        <f t="shared" si="4"/>
        <v>67.23060000000001</v>
      </c>
      <c r="N20" s="480">
        <f t="shared" si="4"/>
        <v>17.505000000000003</v>
      </c>
      <c r="O20" s="480">
        <f t="shared" si="4"/>
        <v>27.9136</v>
      </c>
      <c r="P20" s="481">
        <f t="shared" si="4"/>
        <v>21.612</v>
      </c>
      <c r="Q20" s="481">
        <f t="shared" si="4"/>
        <v>0.2</v>
      </c>
      <c r="R20" s="654">
        <f aca="true" t="shared" si="5" ref="R20:X20">+SUM(R8:R19)</f>
        <v>6877.102820000001</v>
      </c>
      <c r="S20" s="481">
        <f t="shared" si="5"/>
        <v>269.162</v>
      </c>
      <c r="T20" s="480">
        <f t="shared" si="5"/>
        <v>56.593</v>
      </c>
      <c r="U20" s="481">
        <f t="shared" si="5"/>
        <v>148.221</v>
      </c>
      <c r="V20" s="481">
        <f t="shared" si="5"/>
        <v>63.047999999999995</v>
      </c>
      <c r="W20" s="481">
        <f t="shared" si="5"/>
        <v>1.3</v>
      </c>
      <c r="X20" s="654">
        <f t="shared" si="5"/>
        <v>38835.89199999999</v>
      </c>
      <c r="Y20" s="655">
        <f>+S20/G20</f>
        <v>0.3602429440232986</v>
      </c>
      <c r="Z20" s="486"/>
      <c r="AA20" s="656">
        <f>SUM(AA8:AA19)</f>
        <v>316.262</v>
      </c>
    </row>
    <row r="21" spans="2:27" ht="30" customHeight="1">
      <c r="B21" s="864" t="s">
        <v>48</v>
      </c>
      <c r="C21" s="865"/>
      <c r="D21" s="865"/>
      <c r="E21" s="865"/>
      <c r="F21" s="865"/>
      <c r="G21" s="865"/>
      <c r="H21" s="865"/>
      <c r="I21" s="865"/>
      <c r="J21" s="865"/>
      <c r="K21" s="865"/>
      <c r="L21" s="865"/>
      <c r="M21" s="865"/>
      <c r="N21" s="865"/>
      <c r="O21" s="865"/>
      <c r="P21" s="865"/>
      <c r="Q21" s="865"/>
      <c r="R21" s="865"/>
      <c r="S21" s="865"/>
      <c r="T21" s="865"/>
      <c r="U21" s="865"/>
      <c r="V21" s="865"/>
      <c r="W21" s="865"/>
      <c r="X21" s="865"/>
      <c r="Y21" s="865"/>
      <c r="Z21" s="865"/>
      <c r="AA21" s="657"/>
    </row>
    <row r="22" spans="2:25" ht="15">
      <c r="B22" s="162"/>
      <c r="R22" s="164"/>
      <c r="U22" s="36"/>
      <c r="X22" s="165"/>
      <c r="Y22" s="166"/>
    </row>
    <row r="23" spans="2:24" ht="15">
      <c r="B23" s="659"/>
      <c r="G23" s="167"/>
      <c r="N23" s="36"/>
      <c r="S23" s="168"/>
      <c r="X23" s="169"/>
    </row>
    <row r="47" spans="21:25" ht="15">
      <c r="U47" s="465">
        <v>3.457</v>
      </c>
      <c r="V47" s="465">
        <v>14.248</v>
      </c>
      <c r="W47" s="465">
        <v>7.3</v>
      </c>
      <c r="X47" s="465"/>
      <c r="Y47" s="616">
        <v>4856</v>
      </c>
    </row>
  </sheetData>
  <sheetProtection/>
  <mergeCells count="25">
    <mergeCell ref="A1:Z1"/>
    <mergeCell ref="A2:Z2"/>
    <mergeCell ref="A3:Z3"/>
    <mergeCell ref="A4:A6"/>
    <mergeCell ref="B4:B6"/>
    <mergeCell ref="X5:X6"/>
    <mergeCell ref="C4:F4"/>
    <mergeCell ref="G4:L4"/>
    <mergeCell ref="M4:R4"/>
    <mergeCell ref="A20:B20"/>
    <mergeCell ref="L5:L6"/>
    <mergeCell ref="M5:M6"/>
    <mergeCell ref="N5:Q5"/>
    <mergeCell ref="R5:R6"/>
    <mergeCell ref="S5:S6"/>
    <mergeCell ref="B21:Z21"/>
    <mergeCell ref="AA4:AA6"/>
    <mergeCell ref="Z4:Z6"/>
    <mergeCell ref="C5:C6"/>
    <mergeCell ref="D5:F5"/>
    <mergeCell ref="G5:G6"/>
    <mergeCell ref="H5:K5"/>
    <mergeCell ref="S4:X4"/>
    <mergeCell ref="Y4:Y6"/>
    <mergeCell ref="T5:W5"/>
  </mergeCells>
  <printOptions/>
  <pageMargins left="0.2" right="0.2" top="0.58" bottom="0.36" header="0.31496062992125984" footer="0.31496062992125984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D23"/>
  <sheetViews>
    <sheetView view="pageLayout" zoomScale="70" zoomScalePageLayoutView="70" workbookViewId="0" topLeftCell="A4">
      <selection activeCell="K23" sqref="K23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684" hidden="1" customWidth="1"/>
    <col min="14" max="18" width="6.625" style="685" hidden="1" customWidth="1"/>
    <col min="19" max="19" width="6.625" style="163" customWidth="1"/>
    <col min="20" max="24" width="6.625" style="26" customWidth="1"/>
    <col min="25" max="25" width="7.125" style="26" customWidth="1"/>
    <col min="26" max="26" width="45.25390625" style="26" bestFit="1" customWidth="1"/>
    <col min="27" max="27" width="13.875" style="649" customWidth="1"/>
    <col min="28" max="28" width="10.625" style="26" customWidth="1"/>
    <col min="29" max="29" width="20.875" style="26" customWidth="1"/>
    <col min="30" max="32" width="9.00390625" style="26" customWidth="1"/>
    <col min="33" max="16384" width="9.00390625" style="26" customWidth="1"/>
  </cols>
  <sheetData>
    <row r="1" spans="1:29" ht="30" customHeight="1">
      <c r="A1" s="856" t="s">
        <v>36</v>
      </c>
      <c r="B1" s="856"/>
      <c r="C1" s="856"/>
      <c r="D1" s="856"/>
      <c r="E1" s="856"/>
      <c r="F1" s="856"/>
      <c r="G1" s="856"/>
      <c r="H1" s="856"/>
      <c r="I1" s="856"/>
      <c r="J1" s="856"/>
      <c r="K1" s="856"/>
      <c r="L1" s="856"/>
      <c r="M1" s="856"/>
      <c r="N1" s="856"/>
      <c r="O1" s="856"/>
      <c r="P1" s="856"/>
      <c r="Q1" s="856"/>
      <c r="R1" s="856"/>
      <c r="S1" s="856"/>
      <c r="T1" s="856"/>
      <c r="U1" s="856"/>
      <c r="V1" s="856"/>
      <c r="W1" s="856"/>
      <c r="X1" s="856"/>
      <c r="Y1" s="856"/>
      <c r="Z1" s="856"/>
      <c r="AA1" s="636"/>
      <c r="AB1" s="146"/>
      <c r="AC1" s="146"/>
    </row>
    <row r="2" spans="1:29" s="148" customFormat="1" ht="22.5" customHeight="1">
      <c r="A2" s="857" t="s">
        <v>306</v>
      </c>
      <c r="B2" s="857"/>
      <c r="C2" s="857"/>
      <c r="D2" s="857"/>
      <c r="E2" s="857"/>
      <c r="F2" s="857"/>
      <c r="G2" s="857"/>
      <c r="H2" s="857"/>
      <c r="I2" s="857"/>
      <c r="J2" s="857"/>
      <c r="K2" s="857"/>
      <c r="L2" s="857"/>
      <c r="M2" s="857"/>
      <c r="N2" s="857"/>
      <c r="O2" s="857"/>
      <c r="P2" s="857"/>
      <c r="Q2" s="857"/>
      <c r="R2" s="857"/>
      <c r="S2" s="857"/>
      <c r="T2" s="857"/>
      <c r="U2" s="857"/>
      <c r="V2" s="857"/>
      <c r="W2" s="857"/>
      <c r="X2" s="857"/>
      <c r="Y2" s="857"/>
      <c r="Z2" s="857"/>
      <c r="AA2" s="637"/>
      <c r="AB2" s="147"/>
      <c r="AC2" s="147"/>
    </row>
    <row r="3" spans="1:29" s="148" customFormat="1" ht="22.5" customHeight="1">
      <c r="A3" s="858"/>
      <c r="B3" s="858"/>
      <c r="C3" s="858"/>
      <c r="D3" s="858"/>
      <c r="E3" s="858"/>
      <c r="F3" s="858"/>
      <c r="G3" s="858"/>
      <c r="H3" s="858"/>
      <c r="I3" s="858"/>
      <c r="J3" s="858"/>
      <c r="K3" s="858"/>
      <c r="L3" s="858"/>
      <c r="M3" s="858"/>
      <c r="N3" s="858"/>
      <c r="O3" s="858"/>
      <c r="P3" s="858"/>
      <c r="Q3" s="858"/>
      <c r="R3" s="858"/>
      <c r="S3" s="858"/>
      <c r="T3" s="858"/>
      <c r="U3" s="858"/>
      <c r="V3" s="858"/>
      <c r="W3" s="858"/>
      <c r="X3" s="858"/>
      <c r="Y3" s="858"/>
      <c r="Z3" s="858"/>
      <c r="AA3" s="658"/>
      <c r="AB3" s="147"/>
      <c r="AC3" s="147"/>
    </row>
    <row r="4" spans="1:28" s="151" customFormat="1" ht="46.5" customHeight="1">
      <c r="A4" s="859" t="s">
        <v>0</v>
      </c>
      <c r="B4" s="860" t="s">
        <v>1</v>
      </c>
      <c r="C4" s="861" t="s">
        <v>25</v>
      </c>
      <c r="D4" s="861"/>
      <c r="E4" s="861"/>
      <c r="F4" s="861"/>
      <c r="G4" s="845" t="s">
        <v>26</v>
      </c>
      <c r="H4" s="846"/>
      <c r="I4" s="846"/>
      <c r="J4" s="846"/>
      <c r="K4" s="846"/>
      <c r="L4" s="847"/>
      <c r="M4" s="887"/>
      <c r="N4" s="888"/>
      <c r="O4" s="888"/>
      <c r="P4" s="888"/>
      <c r="Q4" s="888"/>
      <c r="R4" s="889"/>
      <c r="S4" s="848" t="s">
        <v>307</v>
      </c>
      <c r="T4" s="849"/>
      <c r="U4" s="849"/>
      <c r="V4" s="849"/>
      <c r="W4" s="849"/>
      <c r="X4" s="850"/>
      <c r="Y4" s="866" t="s">
        <v>43</v>
      </c>
      <c r="Z4" s="859" t="s">
        <v>14</v>
      </c>
      <c r="AA4" s="867" t="s">
        <v>313</v>
      </c>
      <c r="AB4" s="150"/>
    </row>
    <row r="5" spans="1:29" s="151" customFormat="1" ht="14.25" customHeight="1">
      <c r="A5" s="859"/>
      <c r="B5" s="860"/>
      <c r="C5" s="861" t="s">
        <v>20</v>
      </c>
      <c r="D5" s="868" t="s">
        <v>21</v>
      </c>
      <c r="E5" s="868"/>
      <c r="F5" s="868"/>
      <c r="G5" s="860" t="s">
        <v>38</v>
      </c>
      <c r="H5" s="869" t="s">
        <v>21</v>
      </c>
      <c r="I5" s="869"/>
      <c r="J5" s="869"/>
      <c r="K5" s="869"/>
      <c r="L5" s="854" t="s">
        <v>202</v>
      </c>
      <c r="M5" s="881" t="s">
        <v>38</v>
      </c>
      <c r="N5" s="882" t="s">
        <v>21</v>
      </c>
      <c r="O5" s="883"/>
      <c r="P5" s="883"/>
      <c r="Q5" s="884"/>
      <c r="R5" s="885" t="s">
        <v>37</v>
      </c>
      <c r="S5" s="860" t="s">
        <v>38</v>
      </c>
      <c r="T5" s="851" t="s">
        <v>21</v>
      </c>
      <c r="U5" s="852"/>
      <c r="V5" s="852"/>
      <c r="W5" s="853"/>
      <c r="X5" s="854" t="s">
        <v>37</v>
      </c>
      <c r="Y5" s="866"/>
      <c r="Z5" s="859"/>
      <c r="AA5" s="867"/>
      <c r="AB5" s="152"/>
      <c r="AC5" s="153"/>
    </row>
    <row r="6" spans="1:29" s="151" customFormat="1" ht="76.5">
      <c r="A6" s="859"/>
      <c r="B6" s="860"/>
      <c r="C6" s="861"/>
      <c r="D6" s="154" t="s">
        <v>17</v>
      </c>
      <c r="E6" s="154" t="s">
        <v>18</v>
      </c>
      <c r="F6" s="154" t="s">
        <v>19</v>
      </c>
      <c r="G6" s="860"/>
      <c r="H6" s="149" t="s">
        <v>39</v>
      </c>
      <c r="I6" s="149" t="s">
        <v>40</v>
      </c>
      <c r="J6" s="149" t="s">
        <v>41</v>
      </c>
      <c r="K6" s="149" t="s">
        <v>42</v>
      </c>
      <c r="L6" s="855"/>
      <c r="M6" s="881"/>
      <c r="N6" s="660" t="s">
        <v>39</v>
      </c>
      <c r="O6" s="660" t="s">
        <v>40</v>
      </c>
      <c r="P6" s="660" t="s">
        <v>41</v>
      </c>
      <c r="Q6" s="660" t="s">
        <v>42</v>
      </c>
      <c r="R6" s="886"/>
      <c r="S6" s="860"/>
      <c r="T6" s="149" t="s">
        <v>39</v>
      </c>
      <c r="U6" s="149" t="s">
        <v>40</v>
      </c>
      <c r="V6" s="149" t="s">
        <v>41</v>
      </c>
      <c r="W6" s="149" t="s">
        <v>42</v>
      </c>
      <c r="X6" s="855"/>
      <c r="Y6" s="866"/>
      <c r="Z6" s="859"/>
      <c r="AA6" s="867"/>
      <c r="AB6" s="155"/>
      <c r="AC6" s="153"/>
    </row>
    <row r="7" spans="1:29" s="148" customFormat="1" ht="17.25" customHeight="1">
      <c r="A7" s="639">
        <v>1</v>
      </c>
      <c r="B7" s="640">
        <v>2</v>
      </c>
      <c r="C7" s="641"/>
      <c r="D7" s="641"/>
      <c r="E7" s="641"/>
      <c r="F7" s="641"/>
      <c r="G7" s="640">
        <v>3</v>
      </c>
      <c r="H7" s="642">
        <v>4</v>
      </c>
      <c r="I7" s="642">
        <v>5</v>
      </c>
      <c r="J7" s="642">
        <v>6</v>
      </c>
      <c r="K7" s="642">
        <v>7</v>
      </c>
      <c r="L7" s="642">
        <v>8</v>
      </c>
      <c r="M7" s="661">
        <v>9</v>
      </c>
      <c r="N7" s="661">
        <v>10</v>
      </c>
      <c r="O7" s="661">
        <v>11</v>
      </c>
      <c r="P7" s="661">
        <v>12</v>
      </c>
      <c r="Q7" s="661">
        <v>13</v>
      </c>
      <c r="R7" s="661">
        <v>14</v>
      </c>
      <c r="S7" s="642">
        <v>15</v>
      </c>
      <c r="T7" s="642">
        <v>16</v>
      </c>
      <c r="U7" s="642">
        <v>17</v>
      </c>
      <c r="V7" s="642">
        <v>18</v>
      </c>
      <c r="W7" s="642">
        <v>19</v>
      </c>
      <c r="X7" s="642">
        <v>20</v>
      </c>
      <c r="Y7" s="640" t="s">
        <v>47</v>
      </c>
      <c r="Z7" s="640">
        <v>22</v>
      </c>
      <c r="AA7" s="643"/>
      <c r="AB7" s="155"/>
      <c r="AC7" s="643"/>
    </row>
    <row r="8" spans="1:28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6645.867999999999</v>
      </c>
      <c r="M8" s="662">
        <f>SUM(N8:Q8)</f>
        <v>17.36</v>
      </c>
      <c r="N8" s="663">
        <f>+LH!N20</f>
        <v>2.5300000000000002</v>
      </c>
      <c r="O8" s="663">
        <f>+LH!O20</f>
        <v>7.53</v>
      </c>
      <c r="P8" s="663">
        <f>+LH!P20</f>
        <v>7.3</v>
      </c>
      <c r="Q8" s="663"/>
      <c r="R8" s="664">
        <f>+LH!R20</f>
        <v>1312</v>
      </c>
      <c r="S8" s="547">
        <f>SUM(T8:W8)</f>
        <v>23.775000000000002</v>
      </c>
      <c r="T8" s="465">
        <f>+LH!T20</f>
        <v>3.2770000000000006</v>
      </c>
      <c r="U8" s="465">
        <f>+LH!U20</f>
        <v>13.198</v>
      </c>
      <c r="V8" s="465">
        <f>+LH!V20</f>
        <v>7.3</v>
      </c>
      <c r="W8" s="465"/>
      <c r="X8" s="616">
        <f>+LH!X20</f>
        <v>4468</v>
      </c>
      <c r="Y8" s="549">
        <f>+S8/G8</f>
        <v>0.6826012058570199</v>
      </c>
      <c r="Z8" s="645" t="s">
        <v>311</v>
      </c>
      <c r="AA8" s="646">
        <f>+S8+4</f>
        <v>27.775000000000002</v>
      </c>
      <c r="AB8" s="71"/>
    </row>
    <row r="9" spans="1:27" s="68" customFormat="1" ht="24" customHeight="1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0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9955.8</v>
      </c>
      <c r="M9" s="665">
        <f aca="true" t="shared" si="1" ref="M9:M19">SUM(N9:Q9)</f>
        <v>4.508</v>
      </c>
      <c r="N9" s="666">
        <f>+'HS'!J36</f>
        <v>2.16</v>
      </c>
      <c r="O9" s="666">
        <f>+'HS'!K36</f>
        <v>2.148</v>
      </c>
      <c r="P9" s="666">
        <f>+'HS'!L36</f>
        <v>0.2</v>
      </c>
      <c r="Q9" s="666"/>
      <c r="R9" s="667">
        <f>+'HS'!N36</f>
        <v>874.4028200000001</v>
      </c>
      <c r="S9" s="648">
        <f aca="true" t="shared" si="2" ref="S9:S19">SUM(T9:W9)</f>
        <v>16.039</v>
      </c>
      <c r="T9" s="342">
        <f>+'HS'!P36</f>
        <v>6.84</v>
      </c>
      <c r="U9" s="342">
        <f>+'HS'!Q36</f>
        <v>7.848999999999999</v>
      </c>
      <c r="V9" s="342">
        <f>+'HS'!R36</f>
        <v>1.3499999999999999</v>
      </c>
      <c r="W9" s="342"/>
      <c r="X9" s="647">
        <f>+'HS'!T36</f>
        <v>2196.712</v>
      </c>
      <c r="Y9" s="604">
        <f aca="true" t="shared" si="3" ref="Y9:Y18">+S9/G9</f>
        <v>0.2777845130674242</v>
      </c>
      <c r="Z9" s="645"/>
      <c r="AA9" s="646">
        <f>+S9</f>
        <v>16.039</v>
      </c>
    </row>
    <row r="10" spans="1:30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0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668">
        <f t="shared" si="1"/>
        <v>6.700000000000001</v>
      </c>
      <c r="N10" s="669">
        <f>+VQ!N17</f>
        <v>1.25</v>
      </c>
      <c r="O10" s="669">
        <f>+VQ!O17</f>
        <v>2.1300000000000003</v>
      </c>
      <c r="P10" s="669">
        <f>+VQ!P17</f>
        <v>3.3200000000000003</v>
      </c>
      <c r="Q10" s="669"/>
      <c r="R10" s="670">
        <f>+VQ!R17</f>
        <v>969</v>
      </c>
      <c r="S10" s="603">
        <f t="shared" si="2"/>
        <v>10.58</v>
      </c>
      <c r="T10" s="471">
        <f>+VQ!T17</f>
        <v>1.69</v>
      </c>
      <c r="U10" s="471">
        <f>+VQ!U17</f>
        <v>4.55</v>
      </c>
      <c r="V10" s="471">
        <f>+VQ!V17</f>
        <v>4.34</v>
      </c>
      <c r="W10" s="471"/>
      <c r="X10" s="618">
        <f>+VQ!X17</f>
        <v>1630</v>
      </c>
      <c r="Y10" s="604">
        <f t="shared" si="3"/>
        <v>0.24604651162790697</v>
      </c>
      <c r="Z10" s="473"/>
      <c r="AA10" s="638">
        <f>+S10</f>
        <v>10.58</v>
      </c>
      <c r="AD10" s="77"/>
    </row>
    <row r="11" spans="1:27" ht="23.25" customHeight="1">
      <c r="A11" s="267">
        <v>4</v>
      </c>
      <c r="B11" s="475" t="s">
        <v>6</v>
      </c>
      <c r="C11" s="348">
        <f>+D11+E11+F11</f>
        <v>60</v>
      </c>
      <c r="D11" s="342">
        <v>17</v>
      </c>
      <c r="E11" s="342">
        <v>18</v>
      </c>
      <c r="F11" s="342">
        <v>25</v>
      </c>
      <c r="G11" s="558">
        <f t="shared" si="0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671">
        <f t="shared" si="1"/>
        <v>2.67</v>
      </c>
      <c r="N11" s="672">
        <f>+'DT'!J35</f>
        <v>0.7</v>
      </c>
      <c r="O11" s="672">
        <f>+'DT'!K35</f>
        <v>0</v>
      </c>
      <c r="P11" s="672">
        <f>+'DT'!L35</f>
        <v>1.97</v>
      </c>
      <c r="Q11" s="672"/>
      <c r="R11" s="673">
        <f>+'DT'!N35</f>
        <v>0</v>
      </c>
      <c r="S11" s="605">
        <f t="shared" si="2"/>
        <v>14.520000000000001</v>
      </c>
      <c r="T11" s="475">
        <f>+'DT'!P35</f>
        <v>3.1</v>
      </c>
      <c r="U11" s="475">
        <v>4.7</v>
      </c>
      <c r="V11" s="475">
        <f>+'DT'!R35</f>
        <v>6.720000000000001</v>
      </c>
      <c r="W11" s="475"/>
      <c r="X11" s="619">
        <v>543</v>
      </c>
      <c r="Y11" s="563">
        <f t="shared" si="3"/>
        <v>0.24200000000000002</v>
      </c>
      <c r="Z11" s="645" t="s">
        <v>315</v>
      </c>
      <c r="AA11" s="649">
        <f>+S11+4.5</f>
        <v>19.020000000000003</v>
      </c>
    </row>
    <row r="12" spans="1:27" ht="24.75" customHeight="1">
      <c r="A12" s="267">
        <v>5</v>
      </c>
      <c r="B12" s="475" t="s">
        <v>7</v>
      </c>
      <c r="C12" s="348">
        <v>83.4</v>
      </c>
      <c r="D12" s="342">
        <v>28.9</v>
      </c>
      <c r="E12" s="342">
        <v>45.8</v>
      </c>
      <c r="F12" s="342">
        <v>8.7</v>
      </c>
      <c r="G12" s="558">
        <f t="shared" si="0"/>
        <v>84.369</v>
      </c>
      <c r="H12" s="558">
        <v>20.07</v>
      </c>
      <c r="I12" s="558">
        <v>54.049</v>
      </c>
      <c r="J12" s="558">
        <v>7.12</v>
      </c>
      <c r="K12" s="531">
        <v>3.13</v>
      </c>
      <c r="L12" s="629">
        <v>11267.87</v>
      </c>
      <c r="M12" s="671">
        <f t="shared" si="1"/>
        <v>14.06</v>
      </c>
      <c r="N12" s="672">
        <f>+'HK'!J29</f>
        <v>5.53</v>
      </c>
      <c r="O12" s="672">
        <f>+'HK'!K29</f>
        <v>6.93</v>
      </c>
      <c r="P12" s="672">
        <f>+'HK'!L29</f>
        <v>1.4000000000000001</v>
      </c>
      <c r="Q12" s="672">
        <f>+'HK'!M29</f>
        <v>0.2</v>
      </c>
      <c r="R12" s="673">
        <f>+'HK'!N29</f>
        <v>1666.4</v>
      </c>
      <c r="S12" s="605">
        <f t="shared" si="2"/>
        <v>38.15</v>
      </c>
      <c r="T12" s="475">
        <f>+'HK'!P29</f>
        <v>11.55</v>
      </c>
      <c r="U12" s="475">
        <v>23.8</v>
      </c>
      <c r="V12" s="475">
        <v>2.3</v>
      </c>
      <c r="W12" s="475">
        <f>+'HK'!S29</f>
        <v>0.5</v>
      </c>
      <c r="X12" s="619">
        <v>5973</v>
      </c>
      <c r="Y12" s="563">
        <f t="shared" si="3"/>
        <v>0.45218030319193064</v>
      </c>
      <c r="Z12" s="476"/>
      <c r="AA12" s="649">
        <f>+S12</f>
        <v>38.15</v>
      </c>
    </row>
    <row r="13" spans="1:27" ht="21.75" customHeight="1">
      <c r="A13" s="267">
        <v>6</v>
      </c>
      <c r="B13" s="475" t="s">
        <v>8</v>
      </c>
      <c r="C13" s="348">
        <v>110.5</v>
      </c>
      <c r="D13" s="342">
        <v>52.1</v>
      </c>
      <c r="E13" s="342">
        <v>26.1</v>
      </c>
      <c r="F13" s="342">
        <v>32.3</v>
      </c>
      <c r="G13" s="558">
        <f t="shared" si="0"/>
        <v>88.69</v>
      </c>
      <c r="H13" s="558">
        <v>15.02</v>
      </c>
      <c r="I13" s="558">
        <v>43.97</v>
      </c>
      <c r="J13" s="558">
        <v>29.7</v>
      </c>
      <c r="K13" s="531"/>
      <c r="L13" s="629">
        <v>11441.72</v>
      </c>
      <c r="M13" s="671">
        <f t="shared" si="1"/>
        <v>4.5726</v>
      </c>
      <c r="N13" s="672">
        <f>+'CL'!N30</f>
        <v>0.335</v>
      </c>
      <c r="O13" s="672">
        <f>+'CL'!O30</f>
        <v>3.4156000000000004</v>
      </c>
      <c r="P13" s="672">
        <f>+'CL'!P30</f>
        <v>0.8220000000000001</v>
      </c>
      <c r="Q13" s="672"/>
      <c r="R13" s="673">
        <f>+'CL'!R30</f>
        <v>133</v>
      </c>
      <c r="S13" s="605">
        <f t="shared" si="2"/>
        <v>33.44</v>
      </c>
      <c r="T13" s="475">
        <f>+'CL'!T30</f>
        <v>1.346</v>
      </c>
      <c r="U13" s="475">
        <f>+'CL'!U30</f>
        <v>17.874</v>
      </c>
      <c r="V13" s="475">
        <f>+'CL'!V30</f>
        <v>14.22</v>
      </c>
      <c r="W13" s="475"/>
      <c r="X13" s="619">
        <f>+'CL'!X30</f>
        <v>4077</v>
      </c>
      <c r="Y13" s="563">
        <f t="shared" si="3"/>
        <v>0.37704363513361144</v>
      </c>
      <c r="Z13" s="476"/>
      <c r="AA13" s="649">
        <f>+S13</f>
        <v>33.44</v>
      </c>
    </row>
    <row r="14" spans="1:27" s="68" customFormat="1" ht="21.75" customHeight="1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0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668">
        <f t="shared" si="1"/>
        <v>5.31</v>
      </c>
      <c r="N14" s="669">
        <f>+'CX'!N32</f>
        <v>0.2</v>
      </c>
      <c r="O14" s="669">
        <f>+'CX'!O32</f>
        <v>2.7099999999999995</v>
      </c>
      <c r="P14" s="669">
        <f>+'CX'!P32</f>
        <v>2.4</v>
      </c>
      <c r="Q14" s="669"/>
      <c r="R14" s="670">
        <f>+'CX'!R32</f>
        <v>0</v>
      </c>
      <c r="S14" s="603">
        <f t="shared" si="2"/>
        <v>31.63</v>
      </c>
      <c r="T14" s="471">
        <v>2</v>
      </c>
      <c r="U14" s="471">
        <v>19.38</v>
      </c>
      <c r="V14" s="471">
        <v>10.25</v>
      </c>
      <c r="W14" s="471"/>
      <c r="X14" s="618">
        <v>2986</v>
      </c>
      <c r="Y14" s="604">
        <f t="shared" si="3"/>
        <v>0.23724872487248724</v>
      </c>
      <c r="Z14" s="473"/>
      <c r="AA14" s="638">
        <f>+S14</f>
        <v>31.63</v>
      </c>
    </row>
    <row r="15" spans="1:27" ht="21.75" customHeight="1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0"/>
        <v>94</v>
      </c>
      <c r="H15" s="558">
        <v>28.09</v>
      </c>
      <c r="I15" s="558">
        <v>48.3</v>
      </c>
      <c r="J15" s="558">
        <v>17.61</v>
      </c>
      <c r="K15" s="531"/>
      <c r="L15" s="629">
        <v>12917.85</v>
      </c>
      <c r="M15" s="668">
        <f t="shared" si="1"/>
        <v>3.15</v>
      </c>
      <c r="N15" s="669">
        <f>+TH!N38</f>
        <v>0</v>
      </c>
      <c r="O15" s="669">
        <f>+TH!O38</f>
        <v>2.65</v>
      </c>
      <c r="P15" s="669">
        <f>+TH!P38</f>
        <v>0.5</v>
      </c>
      <c r="Q15" s="669"/>
      <c r="R15" s="670">
        <f>+TH!R38</f>
        <v>611</v>
      </c>
      <c r="S15" s="603">
        <f t="shared" si="2"/>
        <v>37.07</v>
      </c>
      <c r="T15" s="471">
        <f>+TH!T38</f>
        <v>7.890000000000001</v>
      </c>
      <c r="U15" s="471">
        <v>24.28</v>
      </c>
      <c r="V15" s="471">
        <f>+TH!V38</f>
        <v>4.9</v>
      </c>
      <c r="W15" s="471"/>
      <c r="X15" s="618">
        <v>5043</v>
      </c>
      <c r="Y15" s="604">
        <f t="shared" si="3"/>
        <v>0.3943617021276596</v>
      </c>
      <c r="Z15" s="476" t="s">
        <v>312</v>
      </c>
      <c r="AA15" s="649">
        <f>+S15+26.6</f>
        <v>63.67</v>
      </c>
    </row>
    <row r="16" spans="1:27" s="68" customFormat="1" ht="21.75" customHeight="1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0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668">
        <f t="shared" si="1"/>
        <v>0.95</v>
      </c>
      <c r="N16" s="669">
        <f>+NX!N21</f>
        <v>0.95</v>
      </c>
      <c r="O16" s="669">
        <f>+NX!O21</f>
        <v>0</v>
      </c>
      <c r="P16" s="669">
        <f>+NX!P21</f>
        <v>0</v>
      </c>
      <c r="Q16" s="669"/>
      <c r="R16" s="670">
        <f>+NX!R21</f>
        <v>263.3</v>
      </c>
      <c r="S16" s="603">
        <f t="shared" si="2"/>
        <v>0.95</v>
      </c>
      <c r="T16" s="471">
        <f>+NX!T21</f>
        <v>0.95</v>
      </c>
      <c r="U16" s="471">
        <f>+NX!U21</f>
        <v>0</v>
      </c>
      <c r="V16" s="471">
        <f>+NX!V21</f>
        <v>0</v>
      </c>
      <c r="W16" s="471"/>
      <c r="X16" s="618">
        <f>+NX!X21</f>
        <v>263.3</v>
      </c>
      <c r="Y16" s="604">
        <f t="shared" si="3"/>
        <v>0.02463692946058091</v>
      </c>
      <c r="Z16" s="473"/>
      <c r="AA16" s="638">
        <f>+S16</f>
        <v>0.95</v>
      </c>
    </row>
    <row r="17" spans="1:27" s="68" customFormat="1" ht="19.5" customHeight="1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0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14117.22</v>
      </c>
      <c r="M17" s="668">
        <f t="shared" si="1"/>
        <v>2.45</v>
      </c>
      <c r="N17" s="669">
        <f>+KA!J40</f>
        <v>2.25</v>
      </c>
      <c r="O17" s="669">
        <f>+KA!K40</f>
        <v>0.2</v>
      </c>
      <c r="P17" s="669">
        <f>+KA!L40</f>
        <v>0</v>
      </c>
      <c r="Q17" s="669"/>
      <c r="R17" s="670">
        <f>+KA!N40</f>
        <v>578</v>
      </c>
      <c r="S17" s="603">
        <f t="shared" si="2"/>
        <v>20.6</v>
      </c>
      <c r="T17" s="471">
        <f>+KA!P40</f>
        <v>8.21</v>
      </c>
      <c r="U17" s="471">
        <f>+KA!Q40</f>
        <v>12.39</v>
      </c>
      <c r="V17" s="471">
        <f>+KA!R40</f>
        <v>0</v>
      </c>
      <c r="W17" s="471"/>
      <c r="X17" s="618">
        <f>+KA!T40</f>
        <v>3037.3</v>
      </c>
      <c r="Y17" s="563">
        <f t="shared" si="3"/>
        <v>0.22376710840756034</v>
      </c>
      <c r="Z17" s="473"/>
      <c r="AA17" s="638">
        <f>+S17</f>
        <v>20.6</v>
      </c>
    </row>
    <row r="18" spans="1:27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0"/>
        <v>2.6</v>
      </c>
      <c r="H18" s="607">
        <v>1</v>
      </c>
      <c r="I18" s="607"/>
      <c r="J18" s="607">
        <v>1.6</v>
      </c>
      <c r="K18" s="531"/>
      <c r="L18" s="629">
        <v>438</v>
      </c>
      <c r="M18" s="674">
        <f t="shared" si="1"/>
        <v>0</v>
      </c>
      <c r="N18" s="675">
        <f>+TXHL!N8</f>
        <v>0</v>
      </c>
      <c r="O18" s="675">
        <f>+TXHL!O8</f>
        <v>0</v>
      </c>
      <c r="P18" s="675">
        <f>+TXHL!P8</f>
        <v>0</v>
      </c>
      <c r="Q18" s="675"/>
      <c r="R18" s="670">
        <f>+TXHL!R8</f>
        <v>0</v>
      </c>
      <c r="S18" s="608">
        <f t="shared" si="2"/>
        <v>1.4180000000000001</v>
      </c>
      <c r="T18" s="607">
        <f>0.43+0.22</f>
        <v>0.65</v>
      </c>
      <c r="U18" s="623">
        <f>+TXHL!U8</f>
        <v>0</v>
      </c>
      <c r="V18" s="607">
        <f>+TXHL!V8</f>
        <v>0.768</v>
      </c>
      <c r="W18" s="623"/>
      <c r="X18" s="618">
        <f>+TXHL!X8</f>
        <v>35</v>
      </c>
      <c r="Y18" s="563">
        <f t="shared" si="3"/>
        <v>0.5453846153846155</v>
      </c>
      <c r="Z18" s="476" t="s">
        <v>308</v>
      </c>
      <c r="AA18" s="646">
        <f>+S18+2</f>
        <v>3.418</v>
      </c>
    </row>
    <row r="19" spans="1:27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0"/>
        <v>18</v>
      </c>
      <c r="H19" s="650">
        <v>4</v>
      </c>
      <c r="I19" s="650">
        <v>4.4</v>
      </c>
      <c r="J19" s="650">
        <v>9.6</v>
      </c>
      <c r="K19" s="651"/>
      <c r="L19" s="630">
        <v>2384</v>
      </c>
      <c r="M19" s="676">
        <f t="shared" si="1"/>
        <v>5.5</v>
      </c>
      <c r="N19" s="677">
        <f>+TPHT!N13</f>
        <v>1.6</v>
      </c>
      <c r="O19" s="677">
        <f>+TPHT!O13</f>
        <v>0.2</v>
      </c>
      <c r="P19" s="677">
        <f>+TPHT!P13</f>
        <v>3.7</v>
      </c>
      <c r="Q19" s="678"/>
      <c r="R19" s="679">
        <f>+TPHT!R13</f>
        <v>470</v>
      </c>
      <c r="S19" s="584">
        <f t="shared" si="2"/>
        <v>5.699999999999999</v>
      </c>
      <c r="T19" s="585">
        <v>1.7</v>
      </c>
      <c r="U19" s="585">
        <f>+TPHT!U13</f>
        <v>0.2</v>
      </c>
      <c r="V19" s="585">
        <v>3.8</v>
      </c>
      <c r="W19" s="624"/>
      <c r="X19" s="621">
        <v>640</v>
      </c>
      <c r="Y19" s="610">
        <f>+S19/G19</f>
        <v>0.31666666666666665</v>
      </c>
      <c r="Z19" s="587"/>
      <c r="AA19" s="646">
        <f>+S19</f>
        <v>5.699999999999999</v>
      </c>
    </row>
    <row r="20" spans="1:27" ht="21.75" customHeight="1">
      <c r="A20" s="870" t="s">
        <v>23</v>
      </c>
      <c r="B20" s="871"/>
      <c r="C20" s="478">
        <f aca="true" t="shared" si="4" ref="C20:Q20">+SUM(C8:C19)</f>
        <v>976.8000000000001</v>
      </c>
      <c r="D20" s="479">
        <f t="shared" si="4"/>
        <v>369.9</v>
      </c>
      <c r="E20" s="479">
        <f t="shared" si="4"/>
        <v>358.7</v>
      </c>
      <c r="F20" s="479">
        <f t="shared" si="4"/>
        <v>248.19999999999996</v>
      </c>
      <c r="G20" s="359">
        <f t="shared" si="4"/>
        <v>747.168</v>
      </c>
      <c r="H20" s="652">
        <f t="shared" si="4"/>
        <v>231.515</v>
      </c>
      <c r="I20" s="652">
        <f t="shared" si="4"/>
        <v>317.46799999999996</v>
      </c>
      <c r="J20" s="652">
        <f t="shared" si="4"/>
        <v>195.055</v>
      </c>
      <c r="K20" s="652">
        <f>+SUM(K8:K19)</f>
        <v>3.13</v>
      </c>
      <c r="L20" s="653">
        <f t="shared" si="4"/>
        <v>108098.62800000001</v>
      </c>
      <c r="M20" s="680">
        <f t="shared" si="4"/>
        <v>67.23060000000001</v>
      </c>
      <c r="N20" s="681">
        <f t="shared" si="4"/>
        <v>17.505000000000003</v>
      </c>
      <c r="O20" s="681">
        <f t="shared" si="4"/>
        <v>27.9136</v>
      </c>
      <c r="P20" s="682">
        <f t="shared" si="4"/>
        <v>21.612</v>
      </c>
      <c r="Q20" s="682">
        <f t="shared" si="4"/>
        <v>0.2</v>
      </c>
      <c r="R20" s="683">
        <f aca="true" t="shared" si="5" ref="R20:X20">+SUM(R8:R19)</f>
        <v>6877.102820000001</v>
      </c>
      <c r="S20" s="481">
        <f t="shared" si="5"/>
        <v>233.87199999999996</v>
      </c>
      <c r="T20" s="480">
        <f t="shared" si="5"/>
        <v>49.203</v>
      </c>
      <c r="U20" s="481">
        <f t="shared" si="5"/>
        <v>128.221</v>
      </c>
      <c r="V20" s="481">
        <f t="shared" si="5"/>
        <v>55.948</v>
      </c>
      <c r="W20" s="481">
        <f t="shared" si="5"/>
        <v>0.5</v>
      </c>
      <c r="X20" s="654">
        <f t="shared" si="5"/>
        <v>30892.311999999998</v>
      </c>
      <c r="Y20" s="655">
        <f>+S20/G20</f>
        <v>0.3130112638656901</v>
      </c>
      <c r="Z20" s="486"/>
      <c r="AA20" s="656">
        <f>SUM(AA8:AA19)</f>
        <v>270.97200000000004</v>
      </c>
    </row>
    <row r="21" spans="2:27" ht="30" customHeight="1">
      <c r="B21" s="864" t="s">
        <v>48</v>
      </c>
      <c r="C21" s="865"/>
      <c r="D21" s="865"/>
      <c r="E21" s="865"/>
      <c r="F21" s="865"/>
      <c r="G21" s="865"/>
      <c r="H21" s="865"/>
      <c r="I21" s="865"/>
      <c r="J21" s="865"/>
      <c r="K21" s="865"/>
      <c r="L21" s="865"/>
      <c r="M21" s="865"/>
      <c r="N21" s="865"/>
      <c r="O21" s="865"/>
      <c r="P21" s="865"/>
      <c r="Q21" s="865"/>
      <c r="R21" s="865"/>
      <c r="S21" s="865"/>
      <c r="T21" s="865"/>
      <c r="U21" s="865"/>
      <c r="V21" s="865"/>
      <c r="W21" s="865"/>
      <c r="X21" s="865"/>
      <c r="Y21" s="865"/>
      <c r="Z21" s="865"/>
      <c r="AA21" s="657"/>
    </row>
    <row r="22" spans="2:25" ht="15">
      <c r="B22" s="162"/>
      <c r="R22" s="686"/>
      <c r="U22" s="36"/>
      <c r="X22" s="165"/>
      <c r="Y22" s="166"/>
    </row>
    <row r="23" spans="2:24" ht="15">
      <c r="B23" s="659"/>
      <c r="G23" s="167"/>
      <c r="N23" s="687"/>
      <c r="S23" s="168"/>
      <c r="X23" s="169"/>
    </row>
  </sheetData>
  <sheetProtection/>
  <mergeCells count="25">
    <mergeCell ref="A1:Z1"/>
    <mergeCell ref="A2:Z2"/>
    <mergeCell ref="A3:Z3"/>
    <mergeCell ref="A4:A6"/>
    <mergeCell ref="B4:B6"/>
    <mergeCell ref="X5:X6"/>
    <mergeCell ref="C4:F4"/>
    <mergeCell ref="G4:L4"/>
    <mergeCell ref="M4:R4"/>
    <mergeCell ref="A20:B20"/>
    <mergeCell ref="L5:L6"/>
    <mergeCell ref="M5:M6"/>
    <mergeCell ref="N5:Q5"/>
    <mergeCell ref="R5:R6"/>
    <mergeCell ref="S5:S6"/>
    <mergeCell ref="B21:Z21"/>
    <mergeCell ref="Z4:Z6"/>
    <mergeCell ref="AA4:AA6"/>
    <mergeCell ref="C5:C6"/>
    <mergeCell ref="D5:F5"/>
    <mergeCell ref="G5:G6"/>
    <mergeCell ref="H5:K5"/>
    <mergeCell ref="S4:X4"/>
    <mergeCell ref="Y4:Y6"/>
    <mergeCell ref="T5:W5"/>
  </mergeCells>
  <printOptions/>
  <pageMargins left="0.2" right="0.2" top="0.58" bottom="0.36" header="0.31496062992125984" footer="0.31496062992125984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E23"/>
  <sheetViews>
    <sheetView zoomScalePageLayoutView="0" workbookViewId="0" topLeftCell="A1">
      <selection activeCell="M5" sqref="M5:M6"/>
    </sheetView>
  </sheetViews>
  <sheetFormatPr defaultColWidth="9.00390625" defaultRowHeight="14.25"/>
  <cols>
    <col min="1" max="1" width="3.625" style="1" customWidth="1"/>
    <col min="2" max="2" width="10.625" style="1" customWidth="1"/>
    <col min="3" max="3" width="8.875" style="2" hidden="1" customWidth="1"/>
    <col min="4" max="5" width="8.375" style="1" hidden="1" customWidth="1"/>
    <col min="6" max="6" width="9.375" style="1" hidden="1" customWidth="1"/>
    <col min="7" max="7" width="6.75390625" style="2" customWidth="1"/>
    <col min="8" max="8" width="6.25390625" style="1" customWidth="1"/>
    <col min="9" max="9" width="6.50390625" style="1" customWidth="1"/>
    <col min="10" max="10" width="7.50390625" style="1" customWidth="1"/>
    <col min="11" max="11" width="7.375" style="1" customWidth="1"/>
    <col min="12" max="12" width="9.375" style="1" customWidth="1"/>
    <col min="13" max="13" width="7.75390625" style="2" customWidth="1"/>
    <col min="14" max="14" width="6.75390625" style="1" customWidth="1"/>
    <col min="15" max="15" width="6.00390625" style="1" customWidth="1"/>
    <col min="16" max="16" width="6.75390625" style="1" customWidth="1"/>
    <col min="17" max="17" width="7.75390625" style="1" customWidth="1"/>
    <col min="18" max="18" width="7.00390625" style="1" customWidth="1"/>
    <col min="19" max="19" width="5.75390625" style="2" customWidth="1"/>
    <col min="20" max="20" width="6.00390625" style="1" customWidth="1"/>
    <col min="21" max="21" width="5.75390625" style="1" customWidth="1"/>
    <col min="22" max="22" width="6.75390625" style="1" customWidth="1"/>
    <col min="23" max="23" width="7.25390625" style="1" customWidth="1"/>
    <col min="24" max="24" width="8.00390625" style="1" customWidth="1"/>
    <col min="25" max="25" width="7.375" style="1" customWidth="1"/>
    <col min="26" max="26" width="6.25390625" style="1" customWidth="1"/>
    <col min="27" max="27" width="10.625" style="1" hidden="1" customWidth="1"/>
    <col min="28" max="28" width="20.875" style="1" hidden="1" customWidth="1"/>
    <col min="29" max="31" width="0" style="1" hidden="1" customWidth="1"/>
    <col min="32" max="16384" width="9.00390625" style="1" customWidth="1"/>
  </cols>
  <sheetData>
    <row r="1" spans="1:28" ht="30" customHeight="1">
      <c r="A1" s="839" t="s">
        <v>36</v>
      </c>
      <c r="B1" s="839"/>
      <c r="C1" s="839"/>
      <c r="D1" s="839"/>
      <c r="E1" s="839"/>
      <c r="F1" s="839"/>
      <c r="G1" s="839"/>
      <c r="H1" s="839"/>
      <c r="I1" s="839"/>
      <c r="J1" s="839"/>
      <c r="K1" s="839"/>
      <c r="L1" s="839"/>
      <c r="M1" s="839"/>
      <c r="N1" s="839"/>
      <c r="O1" s="839"/>
      <c r="P1" s="839"/>
      <c r="Q1" s="839"/>
      <c r="R1" s="839"/>
      <c r="S1" s="839"/>
      <c r="T1" s="839"/>
      <c r="U1" s="839"/>
      <c r="V1" s="839"/>
      <c r="W1" s="839"/>
      <c r="X1" s="839"/>
      <c r="Y1" s="839"/>
      <c r="Z1" s="839"/>
      <c r="AA1" s="9"/>
      <c r="AB1" s="9"/>
    </row>
    <row r="2" spans="1:28" s="5" customFormat="1" ht="22.5" customHeight="1">
      <c r="A2" s="907" t="s">
        <v>50</v>
      </c>
      <c r="B2" s="907"/>
      <c r="C2" s="907"/>
      <c r="D2" s="907"/>
      <c r="E2" s="907"/>
      <c r="F2" s="907"/>
      <c r="G2" s="907"/>
      <c r="H2" s="907"/>
      <c r="I2" s="907"/>
      <c r="J2" s="907"/>
      <c r="K2" s="907"/>
      <c r="L2" s="907"/>
      <c r="M2" s="907"/>
      <c r="N2" s="907"/>
      <c r="O2" s="907"/>
      <c r="P2" s="907"/>
      <c r="Q2" s="907"/>
      <c r="R2" s="907"/>
      <c r="S2" s="907"/>
      <c r="T2" s="907"/>
      <c r="U2" s="907"/>
      <c r="V2" s="907"/>
      <c r="W2" s="907"/>
      <c r="X2" s="907"/>
      <c r="Y2" s="907"/>
      <c r="Z2" s="907"/>
      <c r="AA2" s="10"/>
      <c r="AB2" s="10"/>
    </row>
    <row r="3" spans="1:28" s="5" customFormat="1" ht="22.5" customHeight="1">
      <c r="A3" s="840"/>
      <c r="B3" s="840"/>
      <c r="C3" s="840"/>
      <c r="D3" s="840"/>
      <c r="E3" s="840"/>
      <c r="F3" s="840"/>
      <c r="G3" s="840"/>
      <c r="H3" s="840"/>
      <c r="I3" s="840"/>
      <c r="J3" s="840"/>
      <c r="K3" s="840"/>
      <c r="L3" s="840"/>
      <c r="M3" s="840"/>
      <c r="N3" s="840"/>
      <c r="O3" s="840"/>
      <c r="P3" s="840"/>
      <c r="Q3" s="840"/>
      <c r="R3" s="840"/>
      <c r="S3" s="840"/>
      <c r="T3" s="840"/>
      <c r="U3" s="840"/>
      <c r="V3" s="840"/>
      <c r="W3" s="840"/>
      <c r="X3" s="840"/>
      <c r="Y3" s="840"/>
      <c r="Z3" s="840"/>
      <c r="AA3" s="10"/>
      <c r="AB3" s="10"/>
    </row>
    <row r="4" spans="1:27" s="3" customFormat="1" ht="46.5" customHeight="1">
      <c r="A4" s="908" t="s">
        <v>0</v>
      </c>
      <c r="B4" s="895" t="s">
        <v>1</v>
      </c>
      <c r="C4" s="838" t="s">
        <v>25</v>
      </c>
      <c r="D4" s="838"/>
      <c r="E4" s="838"/>
      <c r="F4" s="838"/>
      <c r="G4" s="892" t="s">
        <v>26</v>
      </c>
      <c r="H4" s="893"/>
      <c r="I4" s="893"/>
      <c r="J4" s="893"/>
      <c r="K4" s="893"/>
      <c r="L4" s="894"/>
      <c r="M4" s="892" t="s">
        <v>44</v>
      </c>
      <c r="N4" s="893"/>
      <c r="O4" s="893"/>
      <c r="P4" s="893"/>
      <c r="Q4" s="893"/>
      <c r="R4" s="894"/>
      <c r="S4" s="904" t="s">
        <v>45</v>
      </c>
      <c r="T4" s="905"/>
      <c r="U4" s="905"/>
      <c r="V4" s="905"/>
      <c r="W4" s="905"/>
      <c r="X4" s="906"/>
      <c r="Y4" s="909" t="s">
        <v>43</v>
      </c>
      <c r="Z4" s="908" t="s">
        <v>14</v>
      </c>
      <c r="AA4" s="7"/>
    </row>
    <row r="5" spans="1:28" s="3" customFormat="1" ht="14.25" customHeight="1">
      <c r="A5" s="908"/>
      <c r="B5" s="895"/>
      <c r="C5" s="838" t="s">
        <v>20</v>
      </c>
      <c r="D5" s="832" t="s">
        <v>21</v>
      </c>
      <c r="E5" s="832"/>
      <c r="F5" s="832"/>
      <c r="G5" s="895" t="s">
        <v>38</v>
      </c>
      <c r="H5" s="901" t="s">
        <v>21</v>
      </c>
      <c r="I5" s="901"/>
      <c r="J5" s="901"/>
      <c r="K5" s="901"/>
      <c r="L5" s="902" t="s">
        <v>202</v>
      </c>
      <c r="M5" s="895" t="s">
        <v>38</v>
      </c>
      <c r="N5" s="896" t="s">
        <v>21</v>
      </c>
      <c r="O5" s="897"/>
      <c r="P5" s="897"/>
      <c r="Q5" s="898"/>
      <c r="R5" s="902" t="s">
        <v>37</v>
      </c>
      <c r="S5" s="895" t="s">
        <v>38</v>
      </c>
      <c r="T5" s="896" t="s">
        <v>21</v>
      </c>
      <c r="U5" s="897"/>
      <c r="V5" s="897"/>
      <c r="W5" s="898"/>
      <c r="X5" s="902" t="s">
        <v>37</v>
      </c>
      <c r="Y5" s="909"/>
      <c r="Z5" s="908"/>
      <c r="AA5" s="6"/>
      <c r="AB5" s="4"/>
    </row>
    <row r="6" spans="1:28" s="3" customFormat="1" ht="73.5" customHeight="1">
      <c r="A6" s="908"/>
      <c r="B6" s="895"/>
      <c r="C6" s="838"/>
      <c r="D6" s="8" t="s">
        <v>17</v>
      </c>
      <c r="E6" s="8" t="s">
        <v>18</v>
      </c>
      <c r="F6" s="8" t="s">
        <v>19</v>
      </c>
      <c r="G6" s="895"/>
      <c r="H6" s="39" t="s">
        <v>39</v>
      </c>
      <c r="I6" s="39" t="s">
        <v>40</v>
      </c>
      <c r="J6" s="39" t="s">
        <v>41</v>
      </c>
      <c r="K6" s="39" t="s">
        <v>42</v>
      </c>
      <c r="L6" s="903"/>
      <c r="M6" s="895"/>
      <c r="N6" s="39" t="s">
        <v>39</v>
      </c>
      <c r="O6" s="39" t="s">
        <v>40</v>
      </c>
      <c r="P6" s="39" t="s">
        <v>41</v>
      </c>
      <c r="Q6" s="39" t="s">
        <v>42</v>
      </c>
      <c r="R6" s="903"/>
      <c r="S6" s="895"/>
      <c r="T6" s="39" t="s">
        <v>39</v>
      </c>
      <c r="U6" s="39" t="s">
        <v>40</v>
      </c>
      <c r="V6" s="39" t="s">
        <v>41</v>
      </c>
      <c r="W6" s="39" t="s">
        <v>42</v>
      </c>
      <c r="X6" s="903"/>
      <c r="Y6" s="909"/>
      <c r="Z6" s="908"/>
      <c r="AA6" s="20" t="s">
        <v>28</v>
      </c>
      <c r="AB6" s="4"/>
    </row>
    <row r="7" spans="1:28" s="5" customFormat="1" ht="17.25" customHeight="1">
      <c r="A7" s="50">
        <v>1</v>
      </c>
      <c r="B7" s="48">
        <v>2</v>
      </c>
      <c r="C7" s="49"/>
      <c r="D7" s="49"/>
      <c r="E7" s="49"/>
      <c r="F7" s="49"/>
      <c r="G7" s="48">
        <v>3</v>
      </c>
      <c r="H7" s="62">
        <v>4</v>
      </c>
      <c r="I7" s="62">
        <v>5</v>
      </c>
      <c r="J7" s="62">
        <v>6</v>
      </c>
      <c r="K7" s="62">
        <v>7</v>
      </c>
      <c r="L7" s="62">
        <v>8</v>
      </c>
      <c r="M7" s="62">
        <v>9</v>
      </c>
      <c r="N7" s="62">
        <v>10</v>
      </c>
      <c r="O7" s="62">
        <v>11</v>
      </c>
      <c r="P7" s="62">
        <v>12</v>
      </c>
      <c r="Q7" s="62">
        <v>13</v>
      </c>
      <c r="R7" s="62">
        <v>14</v>
      </c>
      <c r="S7" s="62">
        <v>15</v>
      </c>
      <c r="T7" s="62">
        <v>16</v>
      </c>
      <c r="U7" s="62">
        <v>17</v>
      </c>
      <c r="V7" s="62">
        <v>18</v>
      </c>
      <c r="W7" s="62">
        <v>19</v>
      </c>
      <c r="X7" s="62">
        <v>20</v>
      </c>
      <c r="Y7" s="48" t="s">
        <v>47</v>
      </c>
      <c r="Z7" s="48">
        <v>22</v>
      </c>
      <c r="AA7" s="20"/>
      <c r="AB7" s="51"/>
    </row>
    <row r="8" spans="1:27" s="68" customFormat="1" ht="24" customHeight="1">
      <c r="A8" s="124">
        <v>1</v>
      </c>
      <c r="B8" s="125" t="s">
        <v>3</v>
      </c>
      <c r="C8" s="126">
        <v>62.7</v>
      </c>
      <c r="D8" s="127">
        <v>22.8</v>
      </c>
      <c r="E8" s="127">
        <v>14</v>
      </c>
      <c r="F8" s="127">
        <v>25.9</v>
      </c>
      <c r="G8" s="128">
        <v>34.83</v>
      </c>
      <c r="H8" s="112">
        <v>13.25</v>
      </c>
      <c r="I8" s="112">
        <v>9.75</v>
      </c>
      <c r="J8" s="112">
        <v>11.83</v>
      </c>
      <c r="K8" s="125"/>
      <c r="L8" s="129">
        <v>6645.867999999999</v>
      </c>
      <c r="M8" s="130">
        <f>+SUM(N8:Q8)</f>
        <v>6.73</v>
      </c>
      <c r="N8" s="125">
        <v>1.31</v>
      </c>
      <c r="O8" s="125">
        <v>5.42</v>
      </c>
      <c r="P8" s="125"/>
      <c r="Q8" s="125"/>
      <c r="R8" s="129">
        <v>3201</v>
      </c>
      <c r="S8" s="130">
        <f aca="true" t="shared" si="0" ref="S8:S16">+SUM(T8:W8)</f>
        <v>8.094999999999999</v>
      </c>
      <c r="T8" s="125">
        <v>1.407</v>
      </c>
      <c r="U8" s="125">
        <v>6.688</v>
      </c>
      <c r="V8" s="125"/>
      <c r="W8" s="125"/>
      <c r="X8" s="131">
        <v>3441</v>
      </c>
      <c r="Y8" s="132">
        <f aca="true" t="shared" si="1" ref="Y8:Y20">+S8/G8</f>
        <v>0.2324145851277634</v>
      </c>
      <c r="Z8" s="70"/>
      <c r="AA8" s="71" t="s">
        <v>27</v>
      </c>
    </row>
    <row r="9" spans="1:31" s="68" customFormat="1" ht="24" customHeight="1">
      <c r="A9" s="64">
        <v>2</v>
      </c>
      <c r="B9" s="65" t="s">
        <v>4</v>
      </c>
      <c r="C9" s="66">
        <v>111.7</v>
      </c>
      <c r="D9" s="72">
        <v>31.7</v>
      </c>
      <c r="E9" s="72">
        <v>66.3</v>
      </c>
      <c r="F9" s="72">
        <v>13.6</v>
      </c>
      <c r="G9" s="92">
        <v>57.73899999999999</v>
      </c>
      <c r="H9" s="91">
        <v>19.985</v>
      </c>
      <c r="I9" s="91">
        <v>30.608999999999998</v>
      </c>
      <c r="J9" s="91">
        <v>7.145</v>
      </c>
      <c r="K9" s="93">
        <v>0</v>
      </c>
      <c r="L9" s="73">
        <v>9955.8</v>
      </c>
      <c r="M9" s="74">
        <f>+SUM(N9:Q9)</f>
        <v>12.5</v>
      </c>
      <c r="N9" s="12">
        <v>5.8</v>
      </c>
      <c r="O9" s="12">
        <v>5.4</v>
      </c>
      <c r="P9" s="12">
        <v>1.3</v>
      </c>
      <c r="Q9" s="65"/>
      <c r="R9" s="73">
        <v>832</v>
      </c>
      <c r="S9" s="59">
        <f t="shared" si="0"/>
        <v>13.75</v>
      </c>
      <c r="T9" s="12">
        <v>7.05</v>
      </c>
      <c r="U9" s="12">
        <v>5.4</v>
      </c>
      <c r="V9" s="12">
        <v>1.3</v>
      </c>
      <c r="W9" s="65"/>
      <c r="X9" s="73">
        <v>832</v>
      </c>
      <c r="Y9" s="76">
        <f t="shared" si="1"/>
        <v>0.23814059820918274</v>
      </c>
      <c r="Z9" s="67"/>
      <c r="AA9" s="68" t="s">
        <v>33</v>
      </c>
      <c r="AB9" s="68" t="s">
        <v>30</v>
      </c>
      <c r="AC9" s="68">
        <v>24.6</v>
      </c>
      <c r="AD9" s="68">
        <v>33.8</v>
      </c>
      <c r="AE9" s="68">
        <v>7.6</v>
      </c>
    </row>
    <row r="10" spans="1:29" s="68" customFormat="1" ht="18" customHeight="1">
      <c r="A10" s="97">
        <v>3</v>
      </c>
      <c r="B10" s="98" t="s">
        <v>5</v>
      </c>
      <c r="C10" s="99">
        <v>45</v>
      </c>
      <c r="D10" s="100">
        <v>14.5</v>
      </c>
      <c r="E10" s="100">
        <v>19.4</v>
      </c>
      <c r="F10" s="100">
        <v>11.1</v>
      </c>
      <c r="G10" s="101">
        <v>43</v>
      </c>
      <c r="H10" s="102">
        <v>12.7</v>
      </c>
      <c r="I10" s="102">
        <v>19.2</v>
      </c>
      <c r="J10" s="102">
        <v>11.1</v>
      </c>
      <c r="K10" s="103">
        <v>0</v>
      </c>
      <c r="L10" s="104">
        <v>5912.900000000001</v>
      </c>
      <c r="M10" s="105">
        <f>+SUM(N10:Q10)</f>
        <v>3.48</v>
      </c>
      <c r="N10" s="98">
        <v>0.44</v>
      </c>
      <c r="O10" s="98">
        <v>2.02</v>
      </c>
      <c r="P10" s="98">
        <v>1.02</v>
      </c>
      <c r="Q10" s="98"/>
      <c r="R10" s="104">
        <v>661</v>
      </c>
      <c r="S10" s="105">
        <f t="shared" si="0"/>
        <v>3.48</v>
      </c>
      <c r="T10" s="98">
        <v>0.44</v>
      </c>
      <c r="U10" s="98">
        <v>2.02</v>
      </c>
      <c r="V10" s="98">
        <v>1.02</v>
      </c>
      <c r="W10" s="98"/>
      <c r="X10" s="104">
        <v>661</v>
      </c>
      <c r="Y10" s="145">
        <f t="shared" si="1"/>
        <v>0.08093023255813954</v>
      </c>
      <c r="Z10" s="67"/>
      <c r="AA10" s="68" t="s">
        <v>31</v>
      </c>
      <c r="AC10" s="77">
        <f>+G9-66</f>
        <v>-8.26100000000001</v>
      </c>
    </row>
    <row r="11" spans="1:27" s="26" customFormat="1" ht="23.25" customHeight="1">
      <c r="A11" s="139">
        <v>4</v>
      </c>
      <c r="B11" s="140" t="s">
        <v>6</v>
      </c>
      <c r="C11" s="141">
        <f>+D11+E11+F11</f>
        <v>60</v>
      </c>
      <c r="D11" s="142">
        <v>17</v>
      </c>
      <c r="E11" s="142">
        <v>18</v>
      </c>
      <c r="F11" s="142">
        <v>25</v>
      </c>
      <c r="G11" s="101">
        <v>60</v>
      </c>
      <c r="H11" s="102">
        <v>17</v>
      </c>
      <c r="I11" s="102">
        <v>18</v>
      </c>
      <c r="J11" s="102">
        <v>25</v>
      </c>
      <c r="K11" s="103">
        <v>0</v>
      </c>
      <c r="L11" s="104">
        <v>8142</v>
      </c>
      <c r="M11" s="143"/>
      <c r="N11" s="140"/>
      <c r="O11" s="140"/>
      <c r="P11" s="140"/>
      <c r="Q11" s="140"/>
      <c r="R11" s="109">
        <f>340-215</f>
        <v>125</v>
      </c>
      <c r="S11" s="105">
        <f t="shared" si="0"/>
        <v>9.35</v>
      </c>
      <c r="T11" s="140">
        <f>6.4-2.2</f>
        <v>4.2</v>
      </c>
      <c r="U11" s="140">
        <f>2.7-0.2</f>
        <v>2.5</v>
      </c>
      <c r="V11" s="140">
        <f>4.75-2.1</f>
        <v>2.65</v>
      </c>
      <c r="W11" s="140"/>
      <c r="X11" s="104">
        <v>340</v>
      </c>
      <c r="Y11" s="144">
        <f t="shared" si="1"/>
        <v>0.15583333333333332</v>
      </c>
      <c r="Z11" s="41"/>
      <c r="AA11" s="26" t="s">
        <v>29</v>
      </c>
    </row>
    <row r="12" spans="1:27" s="26" customFormat="1" ht="24.75" customHeight="1">
      <c r="A12" s="46">
        <v>5</v>
      </c>
      <c r="B12" s="40" t="s">
        <v>7</v>
      </c>
      <c r="C12" s="23">
        <v>83.4</v>
      </c>
      <c r="D12" s="22">
        <v>28.9</v>
      </c>
      <c r="E12" s="22">
        <v>45.8</v>
      </c>
      <c r="F12" s="22">
        <v>8.7</v>
      </c>
      <c r="G12" s="92">
        <v>84.369</v>
      </c>
      <c r="H12" s="91">
        <v>20.07</v>
      </c>
      <c r="I12" s="91">
        <v>54.049</v>
      </c>
      <c r="J12" s="91">
        <v>7.12</v>
      </c>
      <c r="K12" s="93">
        <v>3.13</v>
      </c>
      <c r="L12" s="73">
        <v>11267.87</v>
      </c>
      <c r="M12" s="43">
        <f aca="true" t="shared" si="2" ref="M12:M17">+SUM(N12:Q12)</f>
        <v>14.19</v>
      </c>
      <c r="N12" s="40">
        <v>4.76</v>
      </c>
      <c r="O12" s="40">
        <v>9.43</v>
      </c>
      <c r="P12" s="42"/>
      <c r="Q12" s="40"/>
      <c r="R12" s="63">
        <v>3711</v>
      </c>
      <c r="S12" s="59">
        <f t="shared" si="0"/>
        <v>22.799999999999997</v>
      </c>
      <c r="T12" s="40">
        <v>7.3</v>
      </c>
      <c r="U12" s="40">
        <v>15.1</v>
      </c>
      <c r="V12" s="42">
        <v>0.4</v>
      </c>
      <c r="W12" s="40"/>
      <c r="X12" s="75">
        <v>3711</v>
      </c>
      <c r="Y12" s="61">
        <f t="shared" si="1"/>
        <v>0.27024143939124556</v>
      </c>
      <c r="Z12" s="41"/>
      <c r="AA12" s="26" t="s">
        <v>31</v>
      </c>
    </row>
    <row r="13" spans="1:26" ht="21.75" customHeight="1">
      <c r="A13" s="47">
        <v>6</v>
      </c>
      <c r="B13" s="44" t="s">
        <v>8</v>
      </c>
      <c r="C13" s="13">
        <v>110.5</v>
      </c>
      <c r="D13" s="12">
        <v>52.1</v>
      </c>
      <c r="E13" s="12">
        <v>26.1</v>
      </c>
      <c r="F13" s="12">
        <v>32.3</v>
      </c>
      <c r="G13" s="92">
        <v>88.69</v>
      </c>
      <c r="H13" s="91">
        <v>15.02</v>
      </c>
      <c r="I13" s="91">
        <v>43.97</v>
      </c>
      <c r="J13" s="91">
        <v>29.7</v>
      </c>
      <c r="K13" s="93">
        <v>0</v>
      </c>
      <c r="L13" s="73">
        <v>11441.72</v>
      </c>
      <c r="M13" s="43">
        <f t="shared" si="2"/>
        <v>26.77</v>
      </c>
      <c r="N13" s="44">
        <v>0.81</v>
      </c>
      <c r="O13" s="44">
        <v>12.76</v>
      </c>
      <c r="P13" s="44">
        <v>13.2</v>
      </c>
      <c r="Q13" s="44"/>
      <c r="R13" s="63">
        <v>3804</v>
      </c>
      <c r="S13" s="59">
        <f t="shared" si="0"/>
        <v>26.77</v>
      </c>
      <c r="T13" s="44">
        <v>0.81</v>
      </c>
      <c r="U13" s="44">
        <v>12.76</v>
      </c>
      <c r="V13" s="44">
        <v>13.2</v>
      </c>
      <c r="W13" s="44"/>
      <c r="X13" s="63">
        <v>3804</v>
      </c>
      <c r="Y13" s="60">
        <f t="shared" si="1"/>
        <v>0.3018378622167099</v>
      </c>
      <c r="Z13" s="41"/>
    </row>
    <row r="14" spans="1:26" s="68" customFormat="1" ht="21.75" customHeight="1">
      <c r="A14" s="97">
        <v>7</v>
      </c>
      <c r="B14" s="98" t="s">
        <v>2</v>
      </c>
      <c r="C14" s="99">
        <v>180.6</v>
      </c>
      <c r="D14" s="100">
        <v>55.4</v>
      </c>
      <c r="E14" s="100">
        <v>60.6</v>
      </c>
      <c r="F14" s="100">
        <v>64.6</v>
      </c>
      <c r="G14" s="101">
        <v>133.32</v>
      </c>
      <c r="H14" s="102">
        <v>36.01</v>
      </c>
      <c r="I14" s="102">
        <v>41.84</v>
      </c>
      <c r="J14" s="102">
        <v>55.47</v>
      </c>
      <c r="K14" s="103"/>
      <c r="L14" s="104">
        <v>18072.41</v>
      </c>
      <c r="M14" s="105">
        <f t="shared" si="2"/>
        <v>8.66</v>
      </c>
      <c r="N14" s="98">
        <v>1.2</v>
      </c>
      <c r="O14" s="98">
        <v>2.71</v>
      </c>
      <c r="P14" s="98">
        <v>4.75</v>
      </c>
      <c r="Q14" s="106"/>
      <c r="R14" s="107">
        <v>1395</v>
      </c>
      <c r="S14" s="105">
        <f t="shared" si="0"/>
        <v>25.42</v>
      </c>
      <c r="T14" s="98">
        <v>1.5</v>
      </c>
      <c r="U14" s="98">
        <v>17.82</v>
      </c>
      <c r="V14" s="98">
        <v>6.1</v>
      </c>
      <c r="W14" s="106"/>
      <c r="X14" s="107">
        <v>1395</v>
      </c>
      <c r="Y14" s="108">
        <f t="shared" si="1"/>
        <v>0.1906690669066907</v>
      </c>
      <c r="Z14" s="67"/>
    </row>
    <row r="15" spans="1:26" ht="21.75" customHeight="1">
      <c r="A15" s="97">
        <v>8</v>
      </c>
      <c r="B15" s="98" t="s">
        <v>9</v>
      </c>
      <c r="C15" s="99">
        <v>134.8</v>
      </c>
      <c r="D15" s="100">
        <v>50.8</v>
      </c>
      <c r="E15" s="100">
        <v>57.8</v>
      </c>
      <c r="F15" s="100">
        <v>26.2</v>
      </c>
      <c r="G15" s="101">
        <v>94</v>
      </c>
      <c r="H15" s="102">
        <v>28.09</v>
      </c>
      <c r="I15" s="102">
        <v>48.3</v>
      </c>
      <c r="J15" s="102">
        <v>17.61</v>
      </c>
      <c r="K15" s="103">
        <v>0</v>
      </c>
      <c r="L15" s="104">
        <v>12917.85</v>
      </c>
      <c r="M15" s="105">
        <f t="shared" si="2"/>
        <v>27.64</v>
      </c>
      <c r="N15" s="98">
        <v>6.72</v>
      </c>
      <c r="O15" s="98">
        <v>16.52</v>
      </c>
      <c r="P15" s="98">
        <v>4.4</v>
      </c>
      <c r="Q15" s="98"/>
      <c r="R15" s="104">
        <v>4001</v>
      </c>
      <c r="S15" s="105">
        <f t="shared" si="0"/>
        <v>31.699999999999996</v>
      </c>
      <c r="T15" s="98">
        <v>7.49</v>
      </c>
      <c r="U15" s="98">
        <f>19.24+0.57</f>
        <v>19.81</v>
      </c>
      <c r="V15" s="98">
        <v>4.4</v>
      </c>
      <c r="W15" s="98"/>
      <c r="X15" s="104">
        <v>4001</v>
      </c>
      <c r="Y15" s="108">
        <f t="shared" si="1"/>
        <v>0.33723404255319145</v>
      </c>
      <c r="Z15" s="45"/>
    </row>
    <row r="16" spans="1:26" s="80" customFormat="1" ht="21.75" customHeight="1">
      <c r="A16" s="97">
        <v>9</v>
      </c>
      <c r="B16" s="98" t="s">
        <v>10</v>
      </c>
      <c r="C16" s="99">
        <v>63.7</v>
      </c>
      <c r="D16" s="100">
        <v>35.5</v>
      </c>
      <c r="E16" s="133">
        <v>8</v>
      </c>
      <c r="F16" s="100">
        <v>20.2</v>
      </c>
      <c r="G16" s="101">
        <v>38.56</v>
      </c>
      <c r="H16" s="102">
        <v>12.91</v>
      </c>
      <c r="I16" s="102">
        <v>9.51</v>
      </c>
      <c r="J16" s="102">
        <v>16.14</v>
      </c>
      <c r="K16" s="103">
        <v>0</v>
      </c>
      <c r="L16" s="104">
        <v>6802.99</v>
      </c>
      <c r="M16" s="105">
        <f t="shared" si="2"/>
        <v>0.45</v>
      </c>
      <c r="N16" s="98">
        <v>0.45</v>
      </c>
      <c r="O16" s="98"/>
      <c r="P16" s="98"/>
      <c r="Q16" s="98"/>
      <c r="R16" s="109">
        <v>90</v>
      </c>
      <c r="S16" s="105">
        <f t="shared" si="0"/>
        <v>0.45</v>
      </c>
      <c r="T16" s="98">
        <v>0.45</v>
      </c>
      <c r="U16" s="98"/>
      <c r="V16" s="98"/>
      <c r="W16" s="98"/>
      <c r="X16" s="110">
        <v>90</v>
      </c>
      <c r="Y16" s="108">
        <f t="shared" si="1"/>
        <v>0.011670124481327801</v>
      </c>
      <c r="Z16" s="79"/>
    </row>
    <row r="17" spans="1:26" s="68" customFormat="1" ht="19.5" customHeight="1">
      <c r="A17" s="97">
        <v>10</v>
      </c>
      <c r="B17" s="98" t="s">
        <v>11</v>
      </c>
      <c r="C17" s="99">
        <v>101.4</v>
      </c>
      <c r="D17" s="100">
        <v>56.2</v>
      </c>
      <c r="E17" s="100">
        <v>37.3</v>
      </c>
      <c r="F17" s="100">
        <v>8</v>
      </c>
      <c r="G17" s="101">
        <v>92.06</v>
      </c>
      <c r="H17" s="102">
        <v>51.48</v>
      </c>
      <c r="I17" s="102">
        <v>37.84</v>
      </c>
      <c r="J17" s="102">
        <v>2.74</v>
      </c>
      <c r="K17" s="103">
        <v>0</v>
      </c>
      <c r="L17" s="104">
        <v>14117.22</v>
      </c>
      <c r="M17" s="105">
        <f t="shared" si="2"/>
        <v>16.15</v>
      </c>
      <c r="N17" s="98">
        <v>5.96</v>
      </c>
      <c r="O17" s="98">
        <v>10.19</v>
      </c>
      <c r="P17" s="98"/>
      <c r="Q17" s="98"/>
      <c r="R17" s="109">
        <v>2499</v>
      </c>
      <c r="S17" s="105">
        <f>+SUM(T17:W17)</f>
        <v>16.15</v>
      </c>
      <c r="T17" s="98">
        <v>5.96</v>
      </c>
      <c r="U17" s="98">
        <v>10.19</v>
      </c>
      <c r="V17" s="98"/>
      <c r="W17" s="98"/>
      <c r="X17" s="110">
        <v>2499</v>
      </c>
      <c r="Y17" s="111">
        <f t="shared" si="1"/>
        <v>0.175429067999131</v>
      </c>
      <c r="Z17" s="67"/>
    </row>
    <row r="18" spans="1:26" s="68" customFormat="1" ht="26.25" customHeight="1">
      <c r="A18" s="97">
        <v>11</v>
      </c>
      <c r="B18" s="98" t="s">
        <v>12</v>
      </c>
      <c r="C18" s="99">
        <v>5</v>
      </c>
      <c r="D18" s="133">
        <v>1</v>
      </c>
      <c r="E18" s="133">
        <v>1</v>
      </c>
      <c r="F18" s="133">
        <v>3</v>
      </c>
      <c r="G18" s="134">
        <f>+H18+J18+I18</f>
        <v>2.6</v>
      </c>
      <c r="H18" s="135">
        <v>1</v>
      </c>
      <c r="I18" s="135"/>
      <c r="J18" s="135">
        <v>1.6</v>
      </c>
      <c r="K18" s="136"/>
      <c r="L18" s="104">
        <v>438</v>
      </c>
      <c r="M18" s="137"/>
      <c r="N18" s="135"/>
      <c r="O18" s="135"/>
      <c r="P18" s="135"/>
      <c r="Q18" s="98"/>
      <c r="R18" s="138" t="s">
        <v>46</v>
      </c>
      <c r="S18" s="105">
        <f>+SUM(T18:W18)</f>
        <v>1.1</v>
      </c>
      <c r="T18" s="135">
        <v>0.43</v>
      </c>
      <c r="U18" s="135"/>
      <c r="V18" s="135">
        <v>0.67</v>
      </c>
      <c r="W18" s="98"/>
      <c r="X18" s="138" t="s">
        <v>46</v>
      </c>
      <c r="Y18" s="111">
        <f t="shared" si="1"/>
        <v>0.4230769230769231</v>
      </c>
      <c r="Z18" s="67"/>
    </row>
    <row r="19" spans="1:26" s="68" customFormat="1" ht="19.5" customHeight="1">
      <c r="A19" s="113">
        <v>12</v>
      </c>
      <c r="B19" s="114" t="s">
        <v>13</v>
      </c>
      <c r="C19" s="115">
        <v>18</v>
      </c>
      <c r="D19" s="116">
        <v>4</v>
      </c>
      <c r="E19" s="116">
        <v>4.4</v>
      </c>
      <c r="F19" s="116">
        <v>9.6</v>
      </c>
      <c r="G19" s="117">
        <v>18</v>
      </c>
      <c r="H19" s="118">
        <v>4</v>
      </c>
      <c r="I19" s="118">
        <v>4.4</v>
      </c>
      <c r="J19" s="118">
        <v>9.6</v>
      </c>
      <c r="K19" s="119">
        <v>0</v>
      </c>
      <c r="L19" s="120">
        <v>2384</v>
      </c>
      <c r="M19" s="121">
        <f>+SUM(N19:Q19)</f>
        <v>2.5</v>
      </c>
      <c r="N19" s="122"/>
      <c r="O19" s="122"/>
      <c r="P19" s="122">
        <v>2.5</v>
      </c>
      <c r="Q19" s="122"/>
      <c r="R19" s="120">
        <v>310</v>
      </c>
      <c r="S19" s="121">
        <v>2.5</v>
      </c>
      <c r="T19" s="122"/>
      <c r="U19" s="122"/>
      <c r="V19" s="122"/>
      <c r="W19" s="122"/>
      <c r="X19" s="120">
        <v>310</v>
      </c>
      <c r="Y19" s="123">
        <f t="shared" si="1"/>
        <v>0.1388888888888889</v>
      </c>
      <c r="Z19" s="82"/>
    </row>
    <row r="20" spans="1:26" ht="21.75" customHeight="1">
      <c r="A20" s="899" t="s">
        <v>23</v>
      </c>
      <c r="B20" s="900"/>
      <c r="C20" s="54">
        <f>+SUM(C8:C19)</f>
        <v>976.8000000000001</v>
      </c>
      <c r="D20" s="55">
        <f>+SUM(D8:D19)</f>
        <v>369.9</v>
      </c>
      <c r="E20" s="55">
        <f>+SUM(E8:E19)</f>
        <v>358.7</v>
      </c>
      <c r="F20" s="55">
        <f>+SUM(F8:F19)</f>
        <v>248.19999999999996</v>
      </c>
      <c r="G20" s="89">
        <f>+SUM(G8:G19)</f>
        <v>747.168</v>
      </c>
      <c r="H20" s="90">
        <f aca="true" t="shared" si="3" ref="H20:X20">+SUM(H8:H19)</f>
        <v>231.515</v>
      </c>
      <c r="I20" s="90">
        <f t="shared" si="3"/>
        <v>317.46799999999996</v>
      </c>
      <c r="J20" s="90">
        <f t="shared" si="3"/>
        <v>195.055</v>
      </c>
      <c r="K20" s="90">
        <f t="shared" si="3"/>
        <v>3.13</v>
      </c>
      <c r="L20" s="86">
        <f t="shared" si="3"/>
        <v>108098.62800000001</v>
      </c>
      <c r="M20" s="81">
        <f t="shared" si="3"/>
        <v>119.07</v>
      </c>
      <c r="N20" s="56">
        <f t="shared" si="3"/>
        <v>27.45</v>
      </c>
      <c r="O20" s="56">
        <f t="shared" si="3"/>
        <v>64.45</v>
      </c>
      <c r="P20" s="57">
        <f t="shared" si="3"/>
        <v>27.17</v>
      </c>
      <c r="Q20" s="57"/>
      <c r="R20" s="69">
        <f t="shared" si="3"/>
        <v>20629</v>
      </c>
      <c r="S20" s="57">
        <f t="shared" si="3"/>
        <v>161.56499999999997</v>
      </c>
      <c r="T20" s="56">
        <f t="shared" si="3"/>
        <v>37.037</v>
      </c>
      <c r="U20" s="57">
        <f t="shared" si="3"/>
        <v>92.288</v>
      </c>
      <c r="V20" s="57">
        <f t="shared" si="3"/>
        <v>29.740000000000002</v>
      </c>
      <c r="W20" s="57"/>
      <c r="X20" s="69">
        <f t="shared" si="3"/>
        <v>21084</v>
      </c>
      <c r="Y20" s="78">
        <f t="shared" si="1"/>
        <v>0.21623650905820374</v>
      </c>
      <c r="Z20" s="58"/>
    </row>
    <row r="21" spans="2:26" ht="30" customHeight="1">
      <c r="B21" s="890" t="s">
        <v>48</v>
      </c>
      <c r="C21" s="891"/>
      <c r="D21" s="891"/>
      <c r="E21" s="891"/>
      <c r="F21" s="891"/>
      <c r="G21" s="891"/>
      <c r="H21" s="891"/>
      <c r="I21" s="891"/>
      <c r="J21" s="891"/>
      <c r="K21" s="891"/>
      <c r="L21" s="891"/>
      <c r="M21" s="891"/>
      <c r="N21" s="891"/>
      <c r="O21" s="891"/>
      <c r="P21" s="891"/>
      <c r="Q21" s="891"/>
      <c r="R21" s="891"/>
      <c r="S21" s="891"/>
      <c r="T21" s="891"/>
      <c r="U21" s="891"/>
      <c r="V21" s="891"/>
      <c r="W21" s="891"/>
      <c r="X21" s="891"/>
      <c r="Y21" s="891"/>
      <c r="Z21" s="891"/>
    </row>
    <row r="22" spans="2:25" ht="15">
      <c r="B22" s="94" t="s">
        <v>49</v>
      </c>
      <c r="R22" s="95"/>
      <c r="U22" s="96">
        <f>+S15-T15-U15-V15</f>
        <v>0</v>
      </c>
      <c r="X22" s="85"/>
      <c r="Y22" s="84"/>
    </row>
    <row r="23" spans="7:24" ht="15">
      <c r="G23" s="87"/>
      <c r="N23" s="96"/>
      <c r="S23" s="88"/>
      <c r="X23" s="83"/>
    </row>
  </sheetData>
  <sheetProtection/>
  <mergeCells count="24">
    <mergeCell ref="A1:Z1"/>
    <mergeCell ref="A2:Z2"/>
    <mergeCell ref="A4:A6"/>
    <mergeCell ref="B4:B6"/>
    <mergeCell ref="C4:F4"/>
    <mergeCell ref="Y4:Y6"/>
    <mergeCell ref="M4:R4"/>
    <mergeCell ref="R5:R6"/>
    <mergeCell ref="Z4:Z6"/>
    <mergeCell ref="C5:C6"/>
    <mergeCell ref="A3:Z3"/>
    <mergeCell ref="A20:B20"/>
    <mergeCell ref="H5:K5"/>
    <mergeCell ref="L5:L6"/>
    <mergeCell ref="S4:X4"/>
    <mergeCell ref="X5:X6"/>
    <mergeCell ref="B21:Z21"/>
    <mergeCell ref="G4:L4"/>
    <mergeCell ref="M5:M6"/>
    <mergeCell ref="N5:Q5"/>
    <mergeCell ref="S5:S6"/>
    <mergeCell ref="T5:W5"/>
    <mergeCell ref="D5:F5"/>
    <mergeCell ref="G5:G6"/>
  </mergeCells>
  <printOptions horizontalCentered="1"/>
  <pageMargins left="0.1968503937007874" right="0.1968503937007874" top="0.58" bottom="0.7480314960629921" header="0.31496062992125984" footer="0.31496062992125984"/>
  <pageSetup horizontalDpi="600" verticalDpi="600" orientation="landscape" paperSize="9" scale="8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E23"/>
  <sheetViews>
    <sheetView zoomScalePageLayoutView="0" workbookViewId="0" topLeftCell="A1">
      <selection activeCell="T9" sqref="T9"/>
    </sheetView>
  </sheetViews>
  <sheetFormatPr defaultColWidth="9.00390625" defaultRowHeight="14.25"/>
  <cols>
    <col min="1" max="1" width="3.625" style="1" customWidth="1"/>
    <col min="2" max="2" width="10.625" style="1" customWidth="1"/>
    <col min="3" max="3" width="8.875" style="2" hidden="1" customWidth="1"/>
    <col min="4" max="5" width="8.375" style="1" hidden="1" customWidth="1"/>
    <col min="6" max="6" width="9.375" style="1" hidden="1" customWidth="1"/>
    <col min="7" max="7" width="6.75390625" style="2" customWidth="1"/>
    <col min="8" max="8" width="6.25390625" style="1" customWidth="1"/>
    <col min="9" max="9" width="6.50390625" style="1" customWidth="1"/>
    <col min="10" max="10" width="7.50390625" style="1" customWidth="1"/>
    <col min="11" max="11" width="7.375" style="1" customWidth="1"/>
    <col min="12" max="12" width="9.375" style="1" customWidth="1"/>
    <col min="13" max="13" width="7.75390625" style="2" customWidth="1"/>
    <col min="14" max="14" width="6.75390625" style="1" customWidth="1"/>
    <col min="15" max="15" width="6.00390625" style="1" customWidth="1"/>
    <col min="16" max="16" width="6.75390625" style="1" customWidth="1"/>
    <col min="17" max="17" width="7.75390625" style="1" customWidth="1"/>
    <col min="18" max="18" width="7.00390625" style="1" customWidth="1"/>
    <col min="19" max="19" width="5.75390625" style="2" customWidth="1"/>
    <col min="20" max="20" width="6.00390625" style="1" customWidth="1"/>
    <col min="21" max="21" width="5.75390625" style="1" customWidth="1"/>
    <col min="22" max="22" width="6.75390625" style="1" customWidth="1"/>
    <col min="23" max="23" width="7.25390625" style="1" customWidth="1"/>
    <col min="24" max="24" width="8.00390625" style="1" customWidth="1"/>
    <col min="25" max="25" width="7.375" style="1" customWidth="1"/>
    <col min="26" max="26" width="6.25390625" style="1" customWidth="1"/>
    <col min="27" max="27" width="10.625" style="1" hidden="1" customWidth="1"/>
    <col min="28" max="28" width="20.875" style="1" hidden="1" customWidth="1"/>
    <col min="29" max="31" width="0" style="1" hidden="1" customWidth="1"/>
    <col min="32" max="16384" width="9.00390625" style="1" customWidth="1"/>
  </cols>
  <sheetData>
    <row r="1" spans="1:28" ht="30" customHeight="1">
      <c r="A1" s="839" t="s">
        <v>36</v>
      </c>
      <c r="B1" s="839"/>
      <c r="C1" s="839"/>
      <c r="D1" s="839"/>
      <c r="E1" s="839"/>
      <c r="F1" s="839"/>
      <c r="G1" s="839"/>
      <c r="H1" s="839"/>
      <c r="I1" s="839"/>
      <c r="J1" s="839"/>
      <c r="K1" s="839"/>
      <c r="L1" s="839"/>
      <c r="M1" s="839"/>
      <c r="N1" s="839"/>
      <c r="O1" s="839"/>
      <c r="P1" s="839"/>
      <c r="Q1" s="839"/>
      <c r="R1" s="839"/>
      <c r="S1" s="839"/>
      <c r="T1" s="839"/>
      <c r="U1" s="839"/>
      <c r="V1" s="839"/>
      <c r="W1" s="839"/>
      <c r="X1" s="839"/>
      <c r="Y1" s="839"/>
      <c r="Z1" s="839"/>
      <c r="AA1" s="9"/>
      <c r="AB1" s="9"/>
    </row>
    <row r="2" spans="1:28" s="5" customFormat="1" ht="22.5" customHeight="1">
      <c r="A2" s="907"/>
      <c r="B2" s="907"/>
      <c r="C2" s="907"/>
      <c r="D2" s="907"/>
      <c r="E2" s="907"/>
      <c r="F2" s="907"/>
      <c r="G2" s="907"/>
      <c r="H2" s="907"/>
      <c r="I2" s="907"/>
      <c r="J2" s="907"/>
      <c r="K2" s="907"/>
      <c r="L2" s="907"/>
      <c r="M2" s="907"/>
      <c r="N2" s="907"/>
      <c r="O2" s="907"/>
      <c r="P2" s="907"/>
      <c r="Q2" s="907"/>
      <c r="R2" s="907"/>
      <c r="S2" s="907"/>
      <c r="T2" s="907"/>
      <c r="U2" s="907"/>
      <c r="V2" s="907"/>
      <c r="W2" s="907"/>
      <c r="X2" s="907"/>
      <c r="Y2" s="907"/>
      <c r="Z2" s="907"/>
      <c r="AA2" s="10"/>
      <c r="AB2" s="10"/>
    </row>
    <row r="3" spans="1:28" s="5" customFormat="1" ht="22.5" customHeight="1">
      <c r="A3" s="840"/>
      <c r="B3" s="840"/>
      <c r="C3" s="840"/>
      <c r="D3" s="840"/>
      <c r="E3" s="840"/>
      <c r="F3" s="840"/>
      <c r="G3" s="840"/>
      <c r="H3" s="840"/>
      <c r="I3" s="840"/>
      <c r="J3" s="840"/>
      <c r="K3" s="840"/>
      <c r="L3" s="840"/>
      <c r="M3" s="840"/>
      <c r="N3" s="840"/>
      <c r="O3" s="840"/>
      <c r="P3" s="840"/>
      <c r="Q3" s="840"/>
      <c r="R3" s="840"/>
      <c r="S3" s="840"/>
      <c r="T3" s="840"/>
      <c r="U3" s="840"/>
      <c r="V3" s="840"/>
      <c r="W3" s="840"/>
      <c r="X3" s="840"/>
      <c r="Y3" s="840"/>
      <c r="Z3" s="840"/>
      <c r="AA3" s="10"/>
      <c r="AB3" s="10"/>
    </row>
    <row r="4" spans="1:27" s="3" customFormat="1" ht="46.5" customHeight="1">
      <c r="A4" s="908" t="s">
        <v>0</v>
      </c>
      <c r="B4" s="895" t="s">
        <v>1</v>
      </c>
      <c r="C4" s="838" t="s">
        <v>25</v>
      </c>
      <c r="D4" s="838"/>
      <c r="E4" s="838"/>
      <c r="F4" s="838"/>
      <c r="G4" s="892" t="s">
        <v>26</v>
      </c>
      <c r="H4" s="893"/>
      <c r="I4" s="893"/>
      <c r="J4" s="893"/>
      <c r="K4" s="893"/>
      <c r="L4" s="894"/>
      <c r="M4" s="892" t="s">
        <v>44</v>
      </c>
      <c r="N4" s="893"/>
      <c r="O4" s="893"/>
      <c r="P4" s="893"/>
      <c r="Q4" s="893"/>
      <c r="R4" s="894"/>
      <c r="S4" s="904" t="s">
        <v>45</v>
      </c>
      <c r="T4" s="905"/>
      <c r="U4" s="905"/>
      <c r="V4" s="905"/>
      <c r="W4" s="905"/>
      <c r="X4" s="906"/>
      <c r="Y4" s="912" t="s">
        <v>43</v>
      </c>
      <c r="Z4" s="908" t="s">
        <v>14</v>
      </c>
      <c r="AA4" s="7"/>
    </row>
    <row r="5" spans="1:28" s="3" customFormat="1" ht="14.25" customHeight="1">
      <c r="A5" s="908"/>
      <c r="B5" s="895"/>
      <c r="C5" s="838" t="s">
        <v>20</v>
      </c>
      <c r="D5" s="832" t="s">
        <v>21</v>
      </c>
      <c r="E5" s="832"/>
      <c r="F5" s="832"/>
      <c r="G5" s="895" t="s">
        <v>38</v>
      </c>
      <c r="H5" s="901" t="s">
        <v>21</v>
      </c>
      <c r="I5" s="901"/>
      <c r="J5" s="901"/>
      <c r="K5" s="901"/>
      <c r="L5" s="902" t="s">
        <v>202</v>
      </c>
      <c r="M5" s="895" t="s">
        <v>38</v>
      </c>
      <c r="N5" s="896" t="s">
        <v>21</v>
      </c>
      <c r="O5" s="897"/>
      <c r="P5" s="897"/>
      <c r="Q5" s="898"/>
      <c r="R5" s="902" t="s">
        <v>37</v>
      </c>
      <c r="S5" s="895" t="s">
        <v>38</v>
      </c>
      <c r="T5" s="896" t="s">
        <v>21</v>
      </c>
      <c r="U5" s="897"/>
      <c r="V5" s="897"/>
      <c r="W5" s="898"/>
      <c r="X5" s="902" t="s">
        <v>37</v>
      </c>
      <c r="Y5" s="912"/>
      <c r="Z5" s="908"/>
      <c r="AA5" s="6"/>
      <c r="AB5" s="4"/>
    </row>
    <row r="6" spans="1:28" s="3" customFormat="1" ht="73.5" customHeight="1">
      <c r="A6" s="908"/>
      <c r="B6" s="895"/>
      <c r="C6" s="838"/>
      <c r="D6" s="8" t="s">
        <v>17</v>
      </c>
      <c r="E6" s="8" t="s">
        <v>18</v>
      </c>
      <c r="F6" s="8" t="s">
        <v>19</v>
      </c>
      <c r="G6" s="895"/>
      <c r="H6" s="39" t="s">
        <v>39</v>
      </c>
      <c r="I6" s="39" t="s">
        <v>40</v>
      </c>
      <c r="J6" s="39" t="s">
        <v>41</v>
      </c>
      <c r="K6" s="39" t="s">
        <v>42</v>
      </c>
      <c r="L6" s="903"/>
      <c r="M6" s="895"/>
      <c r="N6" s="39" t="s">
        <v>39</v>
      </c>
      <c r="O6" s="39" t="s">
        <v>40</v>
      </c>
      <c r="P6" s="39" t="s">
        <v>41</v>
      </c>
      <c r="Q6" s="39" t="s">
        <v>42</v>
      </c>
      <c r="R6" s="903"/>
      <c r="S6" s="895"/>
      <c r="T6" s="39" t="s">
        <v>39</v>
      </c>
      <c r="U6" s="39" t="s">
        <v>40</v>
      </c>
      <c r="V6" s="39" t="s">
        <v>41</v>
      </c>
      <c r="W6" s="39" t="s">
        <v>42</v>
      </c>
      <c r="X6" s="903"/>
      <c r="Y6" s="912"/>
      <c r="Z6" s="908"/>
      <c r="AA6" s="20" t="s">
        <v>28</v>
      </c>
      <c r="AB6" s="4"/>
    </row>
    <row r="7" spans="1:28" s="5" customFormat="1" ht="17.25" customHeight="1">
      <c r="A7" s="50">
        <v>1</v>
      </c>
      <c r="B7" s="48">
        <v>2</v>
      </c>
      <c r="C7" s="49"/>
      <c r="D7" s="49"/>
      <c r="E7" s="49"/>
      <c r="F7" s="49"/>
      <c r="G7" s="48">
        <v>3</v>
      </c>
      <c r="H7" s="62">
        <v>4</v>
      </c>
      <c r="I7" s="62">
        <v>5</v>
      </c>
      <c r="J7" s="62">
        <v>6</v>
      </c>
      <c r="K7" s="62">
        <v>7</v>
      </c>
      <c r="L7" s="62">
        <v>8</v>
      </c>
      <c r="M7" s="62">
        <v>9</v>
      </c>
      <c r="N7" s="62">
        <v>10</v>
      </c>
      <c r="O7" s="62">
        <v>11</v>
      </c>
      <c r="P7" s="62">
        <v>12</v>
      </c>
      <c r="Q7" s="62">
        <v>13</v>
      </c>
      <c r="R7" s="62">
        <v>14</v>
      </c>
      <c r="S7" s="62">
        <v>15</v>
      </c>
      <c r="T7" s="62">
        <v>16</v>
      </c>
      <c r="U7" s="62">
        <v>17</v>
      </c>
      <c r="V7" s="62">
        <v>18</v>
      </c>
      <c r="W7" s="62">
        <v>19</v>
      </c>
      <c r="X7" s="62">
        <v>20</v>
      </c>
      <c r="Y7" s="48" t="s">
        <v>47</v>
      </c>
      <c r="Z7" s="48">
        <v>22</v>
      </c>
      <c r="AA7" s="20"/>
      <c r="AB7" s="51"/>
    </row>
    <row r="8" spans="1:27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541">
        <v>34.83</v>
      </c>
      <c r="H8" s="542">
        <v>13.25</v>
      </c>
      <c r="I8" s="542">
        <v>9.75</v>
      </c>
      <c r="J8" s="542">
        <v>11.83</v>
      </c>
      <c r="K8" s="465"/>
      <c r="L8" s="543">
        <v>6645.867999999999</v>
      </c>
      <c r="M8" s="544">
        <f>+SUM(N8:Q8)</f>
        <v>6.73</v>
      </c>
      <c r="N8" s="545">
        <v>1.31</v>
      </c>
      <c r="O8" s="545">
        <v>5.42</v>
      </c>
      <c r="P8" s="545"/>
      <c r="Q8" s="545"/>
      <c r="R8" s="546">
        <v>3201</v>
      </c>
      <c r="S8" s="547">
        <f aca="true" t="shared" si="0" ref="S8:S16">+SUM(T8:W8)</f>
        <v>8.094999999999999</v>
      </c>
      <c r="T8" s="465">
        <v>1.407</v>
      </c>
      <c r="U8" s="465">
        <v>6.688</v>
      </c>
      <c r="V8" s="465"/>
      <c r="W8" s="465"/>
      <c r="X8" s="548">
        <v>3441</v>
      </c>
      <c r="Y8" s="549">
        <f aca="true" t="shared" si="1" ref="Y8:Y20">+S8/G8</f>
        <v>0.2324145851277634</v>
      </c>
      <c r="Z8" s="468"/>
      <c r="AA8" s="71" t="s">
        <v>27</v>
      </c>
    </row>
    <row r="9" spans="1:31" s="68" customFormat="1" ht="24" customHeight="1">
      <c r="A9" s="550">
        <v>2</v>
      </c>
      <c r="B9" s="504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1">
        <v>57.73899999999999</v>
      </c>
      <c r="H9" s="542">
        <v>19.985</v>
      </c>
      <c r="I9" s="542">
        <v>30.608999999999998</v>
      </c>
      <c r="J9" s="542">
        <v>7.145</v>
      </c>
      <c r="K9" s="552">
        <v>0</v>
      </c>
      <c r="L9" s="503">
        <v>9955.8</v>
      </c>
      <c r="M9" s="553">
        <f>+SUM(N9:Q9)</f>
        <v>12.5</v>
      </c>
      <c r="N9" s="554">
        <v>5.8</v>
      </c>
      <c r="O9" s="554">
        <v>5.4</v>
      </c>
      <c r="P9" s="554">
        <v>1.3</v>
      </c>
      <c r="Q9" s="504"/>
      <c r="R9" s="503">
        <v>832</v>
      </c>
      <c r="S9" s="555">
        <f t="shared" si="0"/>
        <v>13.75</v>
      </c>
      <c r="T9" s="554">
        <v>7.05</v>
      </c>
      <c r="U9" s="554">
        <v>5.4</v>
      </c>
      <c r="V9" s="554">
        <v>1.3</v>
      </c>
      <c r="W9" s="504"/>
      <c r="X9" s="503">
        <v>832</v>
      </c>
      <c r="Y9" s="556">
        <f t="shared" si="1"/>
        <v>0.23814059820918274</v>
      </c>
      <c r="Z9" s="505"/>
      <c r="AA9" s="68" t="s">
        <v>33</v>
      </c>
      <c r="AB9" s="68" t="s">
        <v>30</v>
      </c>
      <c r="AC9" s="68">
        <v>24.6</v>
      </c>
      <c r="AD9" s="68">
        <v>33.8</v>
      </c>
      <c r="AE9" s="68">
        <v>7.6</v>
      </c>
    </row>
    <row r="10" spans="1:29" s="68" customFormat="1" ht="18" customHeight="1">
      <c r="A10" s="550">
        <v>3</v>
      </c>
      <c r="B10" s="504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7">
        <v>43</v>
      </c>
      <c r="H10" s="558">
        <v>12.7</v>
      </c>
      <c r="I10" s="558">
        <v>19.2</v>
      </c>
      <c r="J10" s="558">
        <v>11.1</v>
      </c>
      <c r="K10" s="559">
        <v>0</v>
      </c>
      <c r="L10" s="503">
        <v>5912.900000000001</v>
      </c>
      <c r="M10" s="555">
        <f>+SUM(N10:Q10)</f>
        <v>3.48</v>
      </c>
      <c r="N10" s="504">
        <v>0.44</v>
      </c>
      <c r="O10" s="504">
        <v>2.02</v>
      </c>
      <c r="P10" s="504">
        <v>1.02</v>
      </c>
      <c r="Q10" s="504"/>
      <c r="R10" s="503">
        <v>661</v>
      </c>
      <c r="S10" s="555">
        <f t="shared" si="0"/>
        <v>3.48</v>
      </c>
      <c r="T10" s="504">
        <v>0.44</v>
      </c>
      <c r="U10" s="504">
        <v>2.02</v>
      </c>
      <c r="V10" s="504">
        <v>1.02</v>
      </c>
      <c r="W10" s="504"/>
      <c r="X10" s="503">
        <v>661</v>
      </c>
      <c r="Y10" s="560">
        <f t="shared" si="1"/>
        <v>0.08093023255813954</v>
      </c>
      <c r="Z10" s="505"/>
      <c r="AA10" s="68" t="s">
        <v>31</v>
      </c>
      <c r="AC10" s="77">
        <f>+G9-66</f>
        <v>-8.26100000000001</v>
      </c>
    </row>
    <row r="11" spans="1:27" s="26" customFormat="1" ht="23.25" customHeight="1">
      <c r="A11" s="267">
        <v>4</v>
      </c>
      <c r="B11" s="475" t="s">
        <v>6</v>
      </c>
      <c r="C11" s="348">
        <f>+D11+E11+F11</f>
        <v>60</v>
      </c>
      <c r="D11" s="342">
        <v>17</v>
      </c>
      <c r="E11" s="342">
        <v>18</v>
      </c>
      <c r="F11" s="342">
        <v>25</v>
      </c>
      <c r="G11" s="557">
        <v>60</v>
      </c>
      <c r="H11" s="558">
        <v>17</v>
      </c>
      <c r="I11" s="558">
        <v>18</v>
      </c>
      <c r="J11" s="558">
        <v>25</v>
      </c>
      <c r="K11" s="559">
        <v>0</v>
      </c>
      <c r="L11" s="503">
        <v>8142</v>
      </c>
      <c r="M11" s="561"/>
      <c r="N11" s="475"/>
      <c r="O11" s="475"/>
      <c r="P11" s="475"/>
      <c r="Q11" s="475"/>
      <c r="R11" s="562">
        <f>340-215</f>
        <v>125</v>
      </c>
      <c r="S11" s="555">
        <f t="shared" si="0"/>
        <v>9.35</v>
      </c>
      <c r="T11" s="475">
        <f>6.4-2.2</f>
        <v>4.2</v>
      </c>
      <c r="U11" s="475">
        <f>2.7-0.2</f>
        <v>2.5</v>
      </c>
      <c r="V11" s="475">
        <f>4.75-2.1</f>
        <v>2.65</v>
      </c>
      <c r="W11" s="475"/>
      <c r="X11" s="503">
        <v>340</v>
      </c>
      <c r="Y11" s="563">
        <f t="shared" si="1"/>
        <v>0.15583333333333332</v>
      </c>
      <c r="Z11" s="476"/>
      <c r="AA11" s="26" t="s">
        <v>29</v>
      </c>
    </row>
    <row r="12" spans="1:27" s="26" customFormat="1" ht="24.75" customHeight="1">
      <c r="A12" s="267">
        <v>5</v>
      </c>
      <c r="B12" s="475" t="s">
        <v>7</v>
      </c>
      <c r="C12" s="348">
        <v>83.4</v>
      </c>
      <c r="D12" s="342">
        <v>28.9</v>
      </c>
      <c r="E12" s="342">
        <v>45.8</v>
      </c>
      <c r="F12" s="342">
        <v>8.7</v>
      </c>
      <c r="G12" s="551">
        <v>84.369</v>
      </c>
      <c r="H12" s="542">
        <v>20.07</v>
      </c>
      <c r="I12" s="542">
        <v>54.049</v>
      </c>
      <c r="J12" s="542">
        <v>7.12</v>
      </c>
      <c r="K12" s="552">
        <v>3.13</v>
      </c>
      <c r="L12" s="503">
        <v>11267.87</v>
      </c>
      <c r="M12" s="564">
        <f aca="true" t="shared" si="2" ref="M12:M17">+SUM(N12:Q12)</f>
        <v>14.19</v>
      </c>
      <c r="N12" s="475">
        <v>4.76</v>
      </c>
      <c r="O12" s="475">
        <v>9.43</v>
      </c>
      <c r="P12" s="506"/>
      <c r="Q12" s="475"/>
      <c r="R12" s="562">
        <v>3711</v>
      </c>
      <c r="S12" s="555">
        <f t="shared" si="0"/>
        <v>22.799999999999997</v>
      </c>
      <c r="T12" s="475">
        <v>7.3</v>
      </c>
      <c r="U12" s="475">
        <v>15.1</v>
      </c>
      <c r="V12" s="506">
        <v>0.4</v>
      </c>
      <c r="W12" s="475"/>
      <c r="X12" s="507">
        <v>3711</v>
      </c>
      <c r="Y12" s="565">
        <f t="shared" si="1"/>
        <v>0.27024143939124556</v>
      </c>
      <c r="Z12" s="476"/>
      <c r="AA12" s="26" t="s">
        <v>31</v>
      </c>
    </row>
    <row r="13" spans="1:26" ht="21.75" customHeight="1">
      <c r="A13" s="289">
        <v>6</v>
      </c>
      <c r="B13" s="566" t="s">
        <v>8</v>
      </c>
      <c r="C13" s="567">
        <v>110.5</v>
      </c>
      <c r="D13" s="554">
        <v>52.1</v>
      </c>
      <c r="E13" s="554">
        <v>26.1</v>
      </c>
      <c r="F13" s="554">
        <v>32.3</v>
      </c>
      <c r="G13" s="551">
        <v>88.69</v>
      </c>
      <c r="H13" s="542">
        <v>15.02</v>
      </c>
      <c r="I13" s="542">
        <v>43.97</v>
      </c>
      <c r="J13" s="542">
        <v>29.7</v>
      </c>
      <c r="K13" s="552">
        <v>0</v>
      </c>
      <c r="L13" s="503">
        <v>11441.72</v>
      </c>
      <c r="M13" s="564">
        <f t="shared" si="2"/>
        <v>26.77</v>
      </c>
      <c r="N13" s="566">
        <v>0.81</v>
      </c>
      <c r="O13" s="566">
        <v>12.76</v>
      </c>
      <c r="P13" s="566">
        <v>13.2</v>
      </c>
      <c r="Q13" s="566"/>
      <c r="R13" s="562">
        <v>3804</v>
      </c>
      <c r="S13" s="555">
        <f t="shared" si="0"/>
        <v>26.77</v>
      </c>
      <c r="T13" s="566">
        <v>0.81</v>
      </c>
      <c r="U13" s="566">
        <v>12.76</v>
      </c>
      <c r="V13" s="566">
        <v>13.2</v>
      </c>
      <c r="W13" s="566"/>
      <c r="X13" s="562">
        <v>3804</v>
      </c>
      <c r="Y13" s="568">
        <f t="shared" si="1"/>
        <v>0.3018378622167099</v>
      </c>
      <c r="Z13" s="476"/>
    </row>
    <row r="14" spans="1:26" s="68" customFormat="1" ht="21.75" customHeight="1">
      <c r="A14" s="550">
        <v>7</v>
      </c>
      <c r="B14" s="504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7">
        <v>133.32</v>
      </c>
      <c r="H14" s="558">
        <v>36.01</v>
      </c>
      <c r="I14" s="558">
        <v>41.84</v>
      </c>
      <c r="J14" s="558">
        <v>55.47</v>
      </c>
      <c r="K14" s="559"/>
      <c r="L14" s="503">
        <v>18072.41</v>
      </c>
      <c r="M14" s="555">
        <f t="shared" si="2"/>
        <v>8.66</v>
      </c>
      <c r="N14" s="504">
        <v>1.2</v>
      </c>
      <c r="O14" s="504">
        <v>2.71</v>
      </c>
      <c r="P14" s="504">
        <v>4.75</v>
      </c>
      <c r="Q14" s="569"/>
      <c r="R14" s="513">
        <v>1395</v>
      </c>
      <c r="S14" s="555">
        <f t="shared" si="0"/>
        <v>25.42</v>
      </c>
      <c r="T14" s="504">
        <v>1.5</v>
      </c>
      <c r="U14" s="504">
        <v>17.82</v>
      </c>
      <c r="V14" s="504">
        <v>6.1</v>
      </c>
      <c r="W14" s="569"/>
      <c r="X14" s="513">
        <v>1395</v>
      </c>
      <c r="Y14" s="570">
        <f t="shared" si="1"/>
        <v>0.1906690669066907</v>
      </c>
      <c r="Z14" s="505"/>
    </row>
    <row r="15" spans="1:26" s="26" customFormat="1" ht="21.75" customHeight="1">
      <c r="A15" s="550">
        <v>8</v>
      </c>
      <c r="B15" s="504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7">
        <v>94</v>
      </c>
      <c r="H15" s="558">
        <v>28.09</v>
      </c>
      <c r="I15" s="558">
        <v>48.3</v>
      </c>
      <c r="J15" s="558">
        <v>17.61</v>
      </c>
      <c r="K15" s="559">
        <v>0</v>
      </c>
      <c r="L15" s="503">
        <v>12917.85</v>
      </c>
      <c r="M15" s="555">
        <f t="shared" si="2"/>
        <v>27.64</v>
      </c>
      <c r="N15" s="504">
        <v>6.72</v>
      </c>
      <c r="O15" s="504">
        <v>16.52</v>
      </c>
      <c r="P15" s="504">
        <v>4.4</v>
      </c>
      <c r="Q15" s="504"/>
      <c r="R15" s="503">
        <v>4001</v>
      </c>
      <c r="S15" s="555">
        <f t="shared" si="0"/>
        <v>31.699999999999996</v>
      </c>
      <c r="T15" s="504">
        <v>7.49</v>
      </c>
      <c r="U15" s="504">
        <f>19.24+0.57</f>
        <v>19.81</v>
      </c>
      <c r="V15" s="504">
        <v>4.4</v>
      </c>
      <c r="W15" s="504"/>
      <c r="X15" s="503">
        <v>4001</v>
      </c>
      <c r="Y15" s="570">
        <f t="shared" si="1"/>
        <v>0.33723404255319145</v>
      </c>
      <c r="Z15" s="476"/>
    </row>
    <row r="16" spans="1:26" s="68" customFormat="1" ht="21.75" customHeight="1">
      <c r="A16" s="550">
        <v>9</v>
      </c>
      <c r="B16" s="504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7">
        <v>38.56</v>
      </c>
      <c r="H16" s="558">
        <v>12.91</v>
      </c>
      <c r="I16" s="558">
        <v>9.51</v>
      </c>
      <c r="J16" s="558">
        <v>16.14</v>
      </c>
      <c r="K16" s="559">
        <v>0</v>
      </c>
      <c r="L16" s="503">
        <v>6802.99</v>
      </c>
      <c r="M16" s="555">
        <f t="shared" si="2"/>
        <v>0.45</v>
      </c>
      <c r="N16" s="504">
        <v>0.45</v>
      </c>
      <c r="O16" s="504"/>
      <c r="P16" s="504"/>
      <c r="Q16" s="504"/>
      <c r="R16" s="562">
        <v>90</v>
      </c>
      <c r="S16" s="555">
        <f t="shared" si="0"/>
        <v>0.45</v>
      </c>
      <c r="T16" s="504">
        <v>0.45</v>
      </c>
      <c r="U16" s="504"/>
      <c r="V16" s="504"/>
      <c r="W16" s="504"/>
      <c r="X16" s="507">
        <v>90</v>
      </c>
      <c r="Y16" s="570">
        <f t="shared" si="1"/>
        <v>0.011670124481327801</v>
      </c>
      <c r="Z16" s="505"/>
    </row>
    <row r="17" spans="1:26" s="68" customFormat="1" ht="19.5" customHeight="1">
      <c r="A17" s="550">
        <v>10</v>
      </c>
      <c r="B17" s="504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7">
        <v>92.06</v>
      </c>
      <c r="H17" s="558">
        <v>51.48</v>
      </c>
      <c r="I17" s="558">
        <v>37.84</v>
      </c>
      <c r="J17" s="558">
        <v>2.74</v>
      </c>
      <c r="K17" s="559">
        <v>0</v>
      </c>
      <c r="L17" s="503">
        <v>14117.22</v>
      </c>
      <c r="M17" s="555">
        <f t="shared" si="2"/>
        <v>16.15</v>
      </c>
      <c r="N17" s="504">
        <v>5.96</v>
      </c>
      <c r="O17" s="504">
        <v>10.19</v>
      </c>
      <c r="P17" s="504"/>
      <c r="Q17" s="504"/>
      <c r="R17" s="562">
        <v>2499</v>
      </c>
      <c r="S17" s="555">
        <f>+SUM(T17:W17)</f>
        <v>16.15</v>
      </c>
      <c r="T17" s="504">
        <v>5.96</v>
      </c>
      <c r="U17" s="504">
        <v>10.19</v>
      </c>
      <c r="V17" s="504"/>
      <c r="W17" s="504"/>
      <c r="X17" s="507">
        <v>2499</v>
      </c>
      <c r="Y17" s="571">
        <f t="shared" si="1"/>
        <v>0.175429067999131</v>
      </c>
      <c r="Z17" s="505"/>
    </row>
    <row r="18" spans="1:26" s="68" customFormat="1" ht="26.25" customHeight="1">
      <c r="A18" s="550">
        <v>11</v>
      </c>
      <c r="B18" s="504" t="s">
        <v>12</v>
      </c>
      <c r="C18" s="343">
        <v>5</v>
      </c>
      <c r="D18" s="514">
        <v>1</v>
      </c>
      <c r="E18" s="514">
        <v>1</v>
      </c>
      <c r="F18" s="514">
        <v>3</v>
      </c>
      <c r="G18" s="572">
        <f>+H18+J18+I18</f>
        <v>2.6</v>
      </c>
      <c r="H18" s="573">
        <v>1</v>
      </c>
      <c r="I18" s="573"/>
      <c r="J18" s="573">
        <v>1.6</v>
      </c>
      <c r="K18" s="574"/>
      <c r="L18" s="503">
        <v>438</v>
      </c>
      <c r="M18" s="575"/>
      <c r="N18" s="573"/>
      <c r="O18" s="573"/>
      <c r="P18" s="573"/>
      <c r="Q18" s="504"/>
      <c r="R18" s="539" t="s">
        <v>46</v>
      </c>
      <c r="S18" s="555">
        <f>+SUM(T18:W18)</f>
        <v>1.1</v>
      </c>
      <c r="T18" s="573">
        <v>0.43</v>
      </c>
      <c r="U18" s="573"/>
      <c r="V18" s="573">
        <v>0.67</v>
      </c>
      <c r="W18" s="504"/>
      <c r="X18" s="539" t="s">
        <v>46</v>
      </c>
      <c r="Y18" s="571">
        <f t="shared" si="1"/>
        <v>0.4230769230769231</v>
      </c>
      <c r="Z18" s="505"/>
    </row>
    <row r="19" spans="1:26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577">
        <v>18</v>
      </c>
      <c r="H19" s="578">
        <v>4</v>
      </c>
      <c r="I19" s="578">
        <v>4.4</v>
      </c>
      <c r="J19" s="578">
        <v>9.6</v>
      </c>
      <c r="K19" s="579">
        <v>0</v>
      </c>
      <c r="L19" s="580">
        <v>2384</v>
      </c>
      <c r="M19" s="581">
        <f>+SUM(N19:Q19)</f>
        <v>2.5</v>
      </c>
      <c r="N19" s="582"/>
      <c r="O19" s="582"/>
      <c r="P19" s="582">
        <v>2.5</v>
      </c>
      <c r="Q19" s="582"/>
      <c r="R19" s="583">
        <v>310</v>
      </c>
      <c r="S19" s="584">
        <v>2.5</v>
      </c>
      <c r="T19" s="585"/>
      <c r="U19" s="585"/>
      <c r="V19" s="585"/>
      <c r="W19" s="585"/>
      <c r="X19" s="580">
        <v>310</v>
      </c>
      <c r="Y19" s="586">
        <f t="shared" si="1"/>
        <v>0.1388888888888889</v>
      </c>
      <c r="Z19" s="587"/>
    </row>
    <row r="20" spans="1:26" ht="21.75" customHeight="1">
      <c r="A20" s="910" t="s">
        <v>23</v>
      </c>
      <c r="B20" s="911"/>
      <c r="C20" s="478">
        <f>+SUM(C8:C19)</f>
        <v>976.8000000000001</v>
      </c>
      <c r="D20" s="588">
        <f>+SUM(D8:D19)</f>
        <v>369.9</v>
      </c>
      <c r="E20" s="588">
        <f>+SUM(E8:E19)</f>
        <v>358.7</v>
      </c>
      <c r="F20" s="588">
        <f>+SUM(F8:F19)</f>
        <v>248.19999999999996</v>
      </c>
      <c r="G20" s="589">
        <f>+SUM(G8:G19)</f>
        <v>747.168</v>
      </c>
      <c r="H20" s="590">
        <f aca="true" t="shared" si="3" ref="H20:X20">+SUM(H8:H19)</f>
        <v>231.515</v>
      </c>
      <c r="I20" s="590">
        <f t="shared" si="3"/>
        <v>317.46799999999996</v>
      </c>
      <c r="J20" s="590">
        <f t="shared" si="3"/>
        <v>195.055</v>
      </c>
      <c r="K20" s="590">
        <f t="shared" si="3"/>
        <v>3.13</v>
      </c>
      <c r="L20" s="591">
        <f t="shared" si="3"/>
        <v>108098.62800000001</v>
      </c>
      <c r="M20" s="592">
        <f t="shared" si="3"/>
        <v>119.07</v>
      </c>
      <c r="N20" s="593">
        <f t="shared" si="3"/>
        <v>27.45</v>
      </c>
      <c r="O20" s="593">
        <f t="shared" si="3"/>
        <v>64.45</v>
      </c>
      <c r="P20" s="594">
        <f t="shared" si="3"/>
        <v>27.17</v>
      </c>
      <c r="Q20" s="594"/>
      <c r="R20" s="595">
        <f t="shared" si="3"/>
        <v>20629</v>
      </c>
      <c r="S20" s="594">
        <f t="shared" si="3"/>
        <v>161.56499999999997</v>
      </c>
      <c r="T20" s="593">
        <f t="shared" si="3"/>
        <v>37.037</v>
      </c>
      <c r="U20" s="594">
        <f t="shared" si="3"/>
        <v>92.288</v>
      </c>
      <c r="V20" s="594">
        <f t="shared" si="3"/>
        <v>29.740000000000002</v>
      </c>
      <c r="W20" s="594"/>
      <c r="X20" s="595">
        <f t="shared" si="3"/>
        <v>21084</v>
      </c>
      <c r="Y20" s="596">
        <f t="shared" si="1"/>
        <v>0.21623650905820374</v>
      </c>
      <c r="Z20" s="597"/>
    </row>
    <row r="21" spans="2:26" ht="30" customHeight="1">
      <c r="B21" s="890" t="s">
        <v>48</v>
      </c>
      <c r="C21" s="891"/>
      <c r="D21" s="891"/>
      <c r="E21" s="891"/>
      <c r="F21" s="891"/>
      <c r="G21" s="891"/>
      <c r="H21" s="891"/>
      <c r="I21" s="891"/>
      <c r="J21" s="891"/>
      <c r="K21" s="891"/>
      <c r="L21" s="891"/>
      <c r="M21" s="891"/>
      <c r="N21" s="891"/>
      <c r="O21" s="891"/>
      <c r="P21" s="891"/>
      <c r="Q21" s="891"/>
      <c r="R21" s="891"/>
      <c r="S21" s="891"/>
      <c r="T21" s="891"/>
      <c r="U21" s="891"/>
      <c r="V21" s="891"/>
      <c r="W21" s="891"/>
      <c r="X21" s="891"/>
      <c r="Y21" s="891"/>
      <c r="Z21" s="891"/>
    </row>
    <row r="22" spans="2:25" ht="15">
      <c r="B22" s="94" t="s">
        <v>49</v>
      </c>
      <c r="R22" s="95"/>
      <c r="U22" s="96"/>
      <c r="X22" s="85"/>
      <c r="Y22" s="84"/>
    </row>
    <row r="23" spans="7:24" ht="15">
      <c r="G23" s="87"/>
      <c r="N23" s="96"/>
      <c r="S23" s="88"/>
      <c r="X23" s="83"/>
    </row>
  </sheetData>
  <sheetProtection/>
  <mergeCells count="24">
    <mergeCell ref="L5:L6"/>
    <mergeCell ref="R5:R6"/>
    <mergeCell ref="S5:S6"/>
    <mergeCell ref="T5:W5"/>
    <mergeCell ref="Z4:Z6"/>
    <mergeCell ref="M5:M6"/>
    <mergeCell ref="N5:Q5"/>
    <mergeCell ref="Y4:Y6"/>
    <mergeCell ref="A4:A6"/>
    <mergeCell ref="C5:C6"/>
    <mergeCell ref="D5:F5"/>
    <mergeCell ref="B4:B6"/>
    <mergeCell ref="C4:F4"/>
    <mergeCell ref="G5:G6"/>
    <mergeCell ref="H5:K5"/>
    <mergeCell ref="X5:X6"/>
    <mergeCell ref="A20:B20"/>
    <mergeCell ref="B21:Z21"/>
    <mergeCell ref="A1:Z1"/>
    <mergeCell ref="A2:Z2"/>
    <mergeCell ref="A3:Z3"/>
    <mergeCell ref="G4:L4"/>
    <mergeCell ref="M4:R4"/>
    <mergeCell ref="S4:X4"/>
  </mergeCells>
  <printOptions/>
  <pageMargins left="0.2" right="0.2" top="0.6" bottom="0.48" header="0.31496062992125984" footer="0.31496062992125984"/>
  <pageSetup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E23"/>
  <sheetViews>
    <sheetView zoomScalePageLayoutView="0" workbookViewId="0" topLeftCell="A10">
      <selection activeCell="K12" sqref="K12"/>
    </sheetView>
  </sheetViews>
  <sheetFormatPr defaultColWidth="9.00390625" defaultRowHeight="14.25"/>
  <cols>
    <col min="1" max="1" width="2.875" style="1" bestFit="1" customWidth="1"/>
    <col min="2" max="2" width="10.625" style="1" customWidth="1"/>
    <col min="3" max="3" width="8.875" style="2" hidden="1" customWidth="1"/>
    <col min="4" max="5" width="8.375" style="1" hidden="1" customWidth="1"/>
    <col min="6" max="6" width="9.375" style="1" hidden="1" customWidth="1"/>
    <col min="7" max="7" width="6.625" style="2" customWidth="1"/>
    <col min="8" max="12" width="6.625" style="1" customWidth="1"/>
    <col min="13" max="13" width="6.625" style="2" customWidth="1"/>
    <col min="14" max="18" width="6.625" style="1" customWidth="1"/>
    <col min="19" max="19" width="6.625" style="2" customWidth="1"/>
    <col min="20" max="24" width="6.625" style="1" customWidth="1"/>
    <col min="25" max="25" width="7.125" style="1" customWidth="1"/>
    <col min="26" max="26" width="6.625" style="1" customWidth="1"/>
    <col min="27" max="27" width="10.625" style="1" hidden="1" customWidth="1"/>
    <col min="28" max="28" width="20.875" style="1" hidden="1" customWidth="1"/>
    <col min="29" max="31" width="0" style="1" hidden="1" customWidth="1"/>
    <col min="32" max="16384" width="9.00390625" style="1" customWidth="1"/>
  </cols>
  <sheetData>
    <row r="1" spans="1:28" ht="30" customHeight="1">
      <c r="A1" s="839" t="s">
        <v>36</v>
      </c>
      <c r="B1" s="839"/>
      <c r="C1" s="839"/>
      <c r="D1" s="839"/>
      <c r="E1" s="839"/>
      <c r="F1" s="839"/>
      <c r="G1" s="839"/>
      <c r="H1" s="839"/>
      <c r="I1" s="839"/>
      <c r="J1" s="839"/>
      <c r="K1" s="839"/>
      <c r="L1" s="839"/>
      <c r="M1" s="839"/>
      <c r="N1" s="839"/>
      <c r="O1" s="839"/>
      <c r="P1" s="839"/>
      <c r="Q1" s="839"/>
      <c r="R1" s="839"/>
      <c r="S1" s="839"/>
      <c r="T1" s="839"/>
      <c r="U1" s="839"/>
      <c r="V1" s="839"/>
      <c r="W1" s="839"/>
      <c r="X1" s="839"/>
      <c r="Y1" s="839"/>
      <c r="Z1" s="839"/>
      <c r="AA1" s="9"/>
      <c r="AB1" s="9"/>
    </row>
    <row r="2" spans="1:28" s="5" customFormat="1" ht="22.5" customHeight="1">
      <c r="A2" s="907" t="s">
        <v>305</v>
      </c>
      <c r="B2" s="907"/>
      <c r="C2" s="907"/>
      <c r="D2" s="907"/>
      <c r="E2" s="907"/>
      <c r="F2" s="907"/>
      <c r="G2" s="907"/>
      <c r="H2" s="907"/>
      <c r="I2" s="907"/>
      <c r="J2" s="907"/>
      <c r="K2" s="907"/>
      <c r="L2" s="907"/>
      <c r="M2" s="907"/>
      <c r="N2" s="907"/>
      <c r="O2" s="907"/>
      <c r="P2" s="907"/>
      <c r="Q2" s="907"/>
      <c r="R2" s="907"/>
      <c r="S2" s="907"/>
      <c r="T2" s="907"/>
      <c r="U2" s="907"/>
      <c r="V2" s="907"/>
      <c r="W2" s="907"/>
      <c r="X2" s="907"/>
      <c r="Y2" s="907"/>
      <c r="Z2" s="907"/>
      <c r="AA2" s="10"/>
      <c r="AB2" s="10"/>
    </row>
    <row r="3" spans="1:28" s="5" customFormat="1" ht="22.5" customHeight="1">
      <c r="A3" s="840"/>
      <c r="B3" s="840"/>
      <c r="C3" s="840"/>
      <c r="D3" s="840"/>
      <c r="E3" s="840"/>
      <c r="F3" s="840"/>
      <c r="G3" s="840"/>
      <c r="H3" s="840"/>
      <c r="I3" s="840"/>
      <c r="J3" s="840"/>
      <c r="K3" s="840"/>
      <c r="L3" s="840"/>
      <c r="M3" s="840"/>
      <c r="N3" s="840"/>
      <c r="O3" s="840"/>
      <c r="P3" s="840"/>
      <c r="Q3" s="840"/>
      <c r="R3" s="840"/>
      <c r="S3" s="840"/>
      <c r="T3" s="840"/>
      <c r="U3" s="840"/>
      <c r="V3" s="840"/>
      <c r="W3" s="840"/>
      <c r="X3" s="840"/>
      <c r="Y3" s="840"/>
      <c r="Z3" s="840"/>
      <c r="AA3" s="10"/>
      <c r="AB3" s="10"/>
    </row>
    <row r="4" spans="1:27" s="3" customFormat="1" ht="46.5" customHeight="1">
      <c r="A4" s="908" t="s">
        <v>0</v>
      </c>
      <c r="B4" s="895" t="s">
        <v>1</v>
      </c>
      <c r="C4" s="838" t="s">
        <v>25</v>
      </c>
      <c r="D4" s="838"/>
      <c r="E4" s="838"/>
      <c r="F4" s="838"/>
      <c r="G4" s="892" t="s">
        <v>26</v>
      </c>
      <c r="H4" s="893"/>
      <c r="I4" s="893"/>
      <c r="J4" s="893"/>
      <c r="K4" s="893"/>
      <c r="L4" s="894"/>
      <c r="M4" s="892" t="s">
        <v>44</v>
      </c>
      <c r="N4" s="893"/>
      <c r="O4" s="893"/>
      <c r="P4" s="893"/>
      <c r="Q4" s="893"/>
      <c r="R4" s="894"/>
      <c r="S4" s="904" t="s">
        <v>45</v>
      </c>
      <c r="T4" s="905"/>
      <c r="U4" s="905"/>
      <c r="V4" s="905"/>
      <c r="W4" s="905"/>
      <c r="X4" s="906"/>
      <c r="Y4" s="912" t="s">
        <v>43</v>
      </c>
      <c r="Z4" s="908" t="s">
        <v>14</v>
      </c>
      <c r="AA4" s="7"/>
    </row>
    <row r="5" spans="1:28" s="3" customFormat="1" ht="14.25" customHeight="1">
      <c r="A5" s="908"/>
      <c r="B5" s="895"/>
      <c r="C5" s="838" t="s">
        <v>20</v>
      </c>
      <c r="D5" s="832" t="s">
        <v>21</v>
      </c>
      <c r="E5" s="832"/>
      <c r="F5" s="832"/>
      <c r="G5" s="895" t="s">
        <v>38</v>
      </c>
      <c r="H5" s="901" t="s">
        <v>21</v>
      </c>
      <c r="I5" s="901"/>
      <c r="J5" s="901"/>
      <c r="K5" s="901"/>
      <c r="L5" s="902" t="s">
        <v>202</v>
      </c>
      <c r="M5" s="895" t="s">
        <v>38</v>
      </c>
      <c r="N5" s="896" t="s">
        <v>21</v>
      </c>
      <c r="O5" s="897"/>
      <c r="P5" s="897"/>
      <c r="Q5" s="898"/>
      <c r="R5" s="902" t="s">
        <v>37</v>
      </c>
      <c r="S5" s="895" t="s">
        <v>38</v>
      </c>
      <c r="T5" s="896" t="s">
        <v>21</v>
      </c>
      <c r="U5" s="897"/>
      <c r="V5" s="897"/>
      <c r="W5" s="898"/>
      <c r="X5" s="902" t="s">
        <v>37</v>
      </c>
      <c r="Y5" s="912"/>
      <c r="Z5" s="908"/>
      <c r="AA5" s="6"/>
      <c r="AB5" s="4"/>
    </row>
    <row r="6" spans="1:28" s="3" customFormat="1" ht="76.5">
      <c r="A6" s="908"/>
      <c r="B6" s="895"/>
      <c r="C6" s="838"/>
      <c r="D6" s="8" t="s">
        <v>17</v>
      </c>
      <c r="E6" s="8" t="s">
        <v>18</v>
      </c>
      <c r="F6" s="8" t="s">
        <v>19</v>
      </c>
      <c r="G6" s="895"/>
      <c r="H6" s="39" t="s">
        <v>39</v>
      </c>
      <c r="I6" s="39" t="s">
        <v>40</v>
      </c>
      <c r="J6" s="39" t="s">
        <v>41</v>
      </c>
      <c r="K6" s="39" t="s">
        <v>42</v>
      </c>
      <c r="L6" s="903"/>
      <c r="M6" s="895"/>
      <c r="N6" s="39" t="s">
        <v>39</v>
      </c>
      <c r="O6" s="39" t="s">
        <v>40</v>
      </c>
      <c r="P6" s="39" t="s">
        <v>41</v>
      </c>
      <c r="Q6" s="39" t="s">
        <v>42</v>
      </c>
      <c r="R6" s="903"/>
      <c r="S6" s="895"/>
      <c r="T6" s="39" t="s">
        <v>39</v>
      </c>
      <c r="U6" s="39" t="s">
        <v>40</v>
      </c>
      <c r="V6" s="39" t="s">
        <v>41</v>
      </c>
      <c r="W6" s="39" t="s">
        <v>42</v>
      </c>
      <c r="X6" s="903"/>
      <c r="Y6" s="912"/>
      <c r="Z6" s="908"/>
      <c r="AA6" s="20" t="s">
        <v>28</v>
      </c>
      <c r="AB6" s="4"/>
    </row>
    <row r="7" spans="1:28" s="5" customFormat="1" ht="17.25" customHeight="1">
      <c r="A7" s="611">
        <v>1</v>
      </c>
      <c r="B7" s="612">
        <v>2</v>
      </c>
      <c r="C7" s="613"/>
      <c r="D7" s="613"/>
      <c r="E7" s="613"/>
      <c r="F7" s="613"/>
      <c r="G7" s="612">
        <v>3</v>
      </c>
      <c r="H7" s="614">
        <v>4</v>
      </c>
      <c r="I7" s="614">
        <v>5</v>
      </c>
      <c r="J7" s="614">
        <v>6</v>
      </c>
      <c r="K7" s="614">
        <v>7</v>
      </c>
      <c r="L7" s="614">
        <v>8</v>
      </c>
      <c r="M7" s="614">
        <v>9</v>
      </c>
      <c r="N7" s="614">
        <v>10</v>
      </c>
      <c r="O7" s="614">
        <v>11</v>
      </c>
      <c r="P7" s="614">
        <v>12</v>
      </c>
      <c r="Q7" s="614">
        <v>13</v>
      </c>
      <c r="R7" s="614">
        <v>14</v>
      </c>
      <c r="S7" s="614">
        <v>15</v>
      </c>
      <c r="T7" s="614">
        <v>16</v>
      </c>
      <c r="U7" s="614">
        <v>17</v>
      </c>
      <c r="V7" s="614">
        <v>18</v>
      </c>
      <c r="W7" s="614">
        <v>19</v>
      </c>
      <c r="X7" s="614">
        <v>20</v>
      </c>
      <c r="Y7" s="612" t="s">
        <v>47</v>
      </c>
      <c r="Z7" s="612">
        <v>22</v>
      </c>
      <c r="AA7" s="20"/>
      <c r="AB7" s="51"/>
    </row>
    <row r="8" spans="1:27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598">
        <f>SUM(H8:K8)</f>
        <v>34.83</v>
      </c>
      <c r="H8" s="598">
        <v>13.25</v>
      </c>
      <c r="I8" s="598">
        <v>9.75</v>
      </c>
      <c r="J8" s="598">
        <v>11.83</v>
      </c>
      <c r="K8" s="631"/>
      <c r="L8" s="634">
        <v>6645.867999999999</v>
      </c>
      <c r="M8" s="599">
        <f>SUM(N8:Q8)</f>
        <v>17.36</v>
      </c>
      <c r="N8" s="545">
        <f>+LH!N20</f>
        <v>2.5300000000000002</v>
      </c>
      <c r="O8" s="545">
        <f>+LH!O20</f>
        <v>7.53</v>
      </c>
      <c r="P8" s="545">
        <f>+LH!P20</f>
        <v>7.3</v>
      </c>
      <c r="Q8" s="545"/>
      <c r="R8" s="627">
        <f>+LH!R20</f>
        <v>1312</v>
      </c>
      <c r="S8" s="600">
        <f>SUM(T8:W8)</f>
        <v>23.775000000000002</v>
      </c>
      <c r="T8" s="465">
        <f>+LH!T20</f>
        <v>3.2770000000000006</v>
      </c>
      <c r="U8" s="465">
        <f>+LH!U20</f>
        <v>13.198</v>
      </c>
      <c r="V8" s="465">
        <f>+LH!V20</f>
        <v>7.3</v>
      </c>
      <c r="W8" s="465"/>
      <c r="X8" s="616">
        <f>+LH!X20</f>
        <v>4468</v>
      </c>
      <c r="Y8" s="549">
        <f>+S8/G8</f>
        <v>0.6826012058570199</v>
      </c>
      <c r="Z8" s="468"/>
      <c r="AA8" s="71" t="s">
        <v>27</v>
      </c>
    </row>
    <row r="9" spans="1:31" s="68" customFormat="1" ht="24" customHeight="1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42">
        <f aca="true" t="shared" si="0" ref="G9:G19">SUM(H9:K9)</f>
        <v>57.73899999999999</v>
      </c>
      <c r="H9" s="542">
        <v>19.985</v>
      </c>
      <c r="I9" s="542">
        <v>30.608999999999998</v>
      </c>
      <c r="J9" s="542">
        <v>7.145</v>
      </c>
      <c r="K9" s="632"/>
      <c r="L9" s="629">
        <v>9955.8</v>
      </c>
      <c r="M9" s="601">
        <f aca="true" t="shared" si="1" ref="M9:M19">SUM(N9:Q9)</f>
        <v>4.508</v>
      </c>
      <c r="N9" s="554">
        <f>+'HS'!J36</f>
        <v>2.16</v>
      </c>
      <c r="O9" s="554">
        <f>+'HS'!K36</f>
        <v>2.148</v>
      </c>
      <c r="P9" s="554">
        <f>+'HS'!L36</f>
        <v>0.2</v>
      </c>
      <c r="Q9" s="554"/>
      <c r="R9" s="617">
        <f>+'HS'!N36</f>
        <v>874.4028200000001</v>
      </c>
      <c r="S9" s="601">
        <f aca="true" t="shared" si="2" ref="S9:S19">SUM(T9:W9)</f>
        <v>16.039</v>
      </c>
      <c r="T9" s="554">
        <f>+'HS'!P36</f>
        <v>6.84</v>
      </c>
      <c r="U9" s="554">
        <f>+'HS'!Q36</f>
        <v>7.848999999999999</v>
      </c>
      <c r="V9" s="554">
        <f>+'HS'!R36</f>
        <v>1.3499999999999999</v>
      </c>
      <c r="W9" s="554"/>
      <c r="X9" s="617">
        <f>+'HS'!T36</f>
        <v>2196.712</v>
      </c>
      <c r="Y9" s="602">
        <f aca="true" t="shared" si="3" ref="Y9:Y18">+S9/G9</f>
        <v>0.2777845130674242</v>
      </c>
      <c r="Z9" s="473"/>
      <c r="AA9" s="68" t="s">
        <v>33</v>
      </c>
      <c r="AB9" s="68" t="s">
        <v>30</v>
      </c>
      <c r="AC9" s="68">
        <v>24.6</v>
      </c>
      <c r="AD9" s="68">
        <v>33.8</v>
      </c>
      <c r="AE9" s="68">
        <v>7.6</v>
      </c>
    </row>
    <row r="10" spans="1:29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0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603">
        <f t="shared" si="1"/>
        <v>6.700000000000001</v>
      </c>
      <c r="N10" s="471">
        <f>+VQ!N17</f>
        <v>1.25</v>
      </c>
      <c r="O10" s="471">
        <f>+VQ!O17</f>
        <v>2.1300000000000003</v>
      </c>
      <c r="P10" s="471">
        <f>+VQ!P17</f>
        <v>3.3200000000000003</v>
      </c>
      <c r="Q10" s="471"/>
      <c r="R10" s="618">
        <f>+VQ!R17</f>
        <v>969</v>
      </c>
      <c r="S10" s="603">
        <f t="shared" si="2"/>
        <v>10.58</v>
      </c>
      <c r="T10" s="471">
        <f>+VQ!T17</f>
        <v>1.69</v>
      </c>
      <c r="U10" s="471">
        <f>+VQ!U17</f>
        <v>4.55</v>
      </c>
      <c r="V10" s="471">
        <f>+VQ!V17</f>
        <v>4.34</v>
      </c>
      <c r="W10" s="471"/>
      <c r="X10" s="618">
        <f>+VQ!X17</f>
        <v>1630</v>
      </c>
      <c r="Y10" s="604">
        <f t="shared" si="3"/>
        <v>0.24604651162790697</v>
      </c>
      <c r="Z10" s="473"/>
      <c r="AA10" s="68" t="s">
        <v>31</v>
      </c>
      <c r="AC10" s="77">
        <f>+G9-66</f>
        <v>-8.26100000000001</v>
      </c>
    </row>
    <row r="11" spans="1:27" s="26" customFormat="1" ht="23.25" customHeight="1">
      <c r="A11" s="267">
        <v>4</v>
      </c>
      <c r="B11" s="475" t="s">
        <v>6</v>
      </c>
      <c r="C11" s="348">
        <f>+D11+E11+F11</f>
        <v>60</v>
      </c>
      <c r="D11" s="342">
        <v>17</v>
      </c>
      <c r="E11" s="342">
        <v>18</v>
      </c>
      <c r="F11" s="342">
        <v>25</v>
      </c>
      <c r="G11" s="558">
        <f t="shared" si="0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605">
        <f t="shared" si="1"/>
        <v>2.67</v>
      </c>
      <c r="N11" s="475">
        <f>+'DT'!J35</f>
        <v>0.7</v>
      </c>
      <c r="O11" s="475">
        <f>+'DT'!K35</f>
        <v>0</v>
      </c>
      <c r="P11" s="475">
        <f>+'DT'!L35</f>
        <v>1.97</v>
      </c>
      <c r="Q11" s="475"/>
      <c r="R11" s="619">
        <f>+'DT'!N35</f>
        <v>0</v>
      </c>
      <c r="S11" s="605">
        <f t="shared" si="2"/>
        <v>12.520000000000001</v>
      </c>
      <c r="T11" s="475">
        <f>+'DT'!P35</f>
        <v>3.1</v>
      </c>
      <c r="U11" s="475">
        <f>+'DT'!Q35</f>
        <v>2.7</v>
      </c>
      <c r="V11" s="475">
        <f>+'DT'!R35</f>
        <v>6.720000000000001</v>
      </c>
      <c r="W11" s="475"/>
      <c r="X11" s="619">
        <f>+'DT'!T35</f>
        <v>455</v>
      </c>
      <c r="Y11" s="563">
        <f t="shared" si="3"/>
        <v>0.2086666666666667</v>
      </c>
      <c r="Z11" s="476"/>
      <c r="AA11" s="26" t="s">
        <v>29</v>
      </c>
    </row>
    <row r="12" spans="1:27" s="26" customFormat="1" ht="24.75" customHeight="1">
      <c r="A12" s="267">
        <v>5</v>
      </c>
      <c r="B12" s="475" t="s">
        <v>7</v>
      </c>
      <c r="C12" s="348">
        <v>83.4</v>
      </c>
      <c r="D12" s="342">
        <v>28.9</v>
      </c>
      <c r="E12" s="342">
        <v>45.8</v>
      </c>
      <c r="F12" s="342">
        <v>8.7</v>
      </c>
      <c r="G12" s="542">
        <f t="shared" si="0"/>
        <v>84.369</v>
      </c>
      <c r="H12" s="542">
        <v>20.07</v>
      </c>
      <c r="I12" s="542">
        <v>54.049</v>
      </c>
      <c r="J12" s="542">
        <v>7.12</v>
      </c>
      <c r="K12" s="632">
        <v>3.13</v>
      </c>
      <c r="L12" s="629">
        <v>11267.87</v>
      </c>
      <c r="M12" s="605">
        <f t="shared" si="1"/>
        <v>14.06</v>
      </c>
      <c r="N12" s="475">
        <f>+'HK'!J29</f>
        <v>5.53</v>
      </c>
      <c r="O12" s="475">
        <f>+'HK'!K29</f>
        <v>6.93</v>
      </c>
      <c r="P12" s="475">
        <f>+'HK'!L29</f>
        <v>1.4000000000000001</v>
      </c>
      <c r="Q12" s="475">
        <f>+'HK'!M29</f>
        <v>0.2</v>
      </c>
      <c r="R12" s="619">
        <f>+'HK'!N29</f>
        <v>1666.4</v>
      </c>
      <c r="S12" s="605">
        <f t="shared" si="2"/>
        <v>35.86</v>
      </c>
      <c r="T12" s="475">
        <f>+'HK'!P29</f>
        <v>11.55</v>
      </c>
      <c r="U12" s="475">
        <f>+'HK'!Q29</f>
        <v>22.009999999999998</v>
      </c>
      <c r="V12" s="475">
        <f>+'HK'!R29</f>
        <v>1.8</v>
      </c>
      <c r="W12" s="475">
        <f>+'HK'!S29</f>
        <v>0.5</v>
      </c>
      <c r="X12" s="619">
        <f>+'HK'!T29</f>
        <v>5317.349999999999</v>
      </c>
      <c r="Y12" s="565">
        <f t="shared" si="3"/>
        <v>0.4250376323057047</v>
      </c>
      <c r="Z12" s="476"/>
      <c r="AA12" s="26" t="s">
        <v>31</v>
      </c>
    </row>
    <row r="13" spans="1:26" ht="21.75" customHeight="1">
      <c r="A13" s="289">
        <v>6</v>
      </c>
      <c r="B13" s="566" t="s">
        <v>8</v>
      </c>
      <c r="C13" s="567">
        <v>110.5</v>
      </c>
      <c r="D13" s="554">
        <v>52.1</v>
      </c>
      <c r="E13" s="554">
        <v>26.1</v>
      </c>
      <c r="F13" s="554">
        <v>32.3</v>
      </c>
      <c r="G13" s="542">
        <f t="shared" si="0"/>
        <v>88.69</v>
      </c>
      <c r="H13" s="542">
        <v>15.02</v>
      </c>
      <c r="I13" s="542">
        <v>43.97</v>
      </c>
      <c r="J13" s="542">
        <v>29.7</v>
      </c>
      <c r="K13" s="632"/>
      <c r="L13" s="629">
        <v>11441.72</v>
      </c>
      <c r="M13" s="606">
        <f t="shared" si="1"/>
        <v>4.5726</v>
      </c>
      <c r="N13" s="566">
        <f>+'CL'!N30</f>
        <v>0.335</v>
      </c>
      <c r="O13" s="566">
        <f>+'CL'!O30</f>
        <v>3.4156000000000004</v>
      </c>
      <c r="P13" s="566">
        <f>+'CL'!P30</f>
        <v>0.8220000000000001</v>
      </c>
      <c r="Q13" s="566"/>
      <c r="R13" s="620">
        <f>+'CL'!R30</f>
        <v>133</v>
      </c>
      <c r="S13" s="606">
        <f t="shared" si="2"/>
        <v>33.44</v>
      </c>
      <c r="T13" s="566">
        <f>+'CL'!T30</f>
        <v>1.346</v>
      </c>
      <c r="U13" s="566">
        <f>+'CL'!U30</f>
        <v>17.874</v>
      </c>
      <c r="V13" s="566">
        <f>+'CL'!V30</f>
        <v>14.22</v>
      </c>
      <c r="W13" s="566"/>
      <c r="X13" s="620">
        <f>+'CL'!X30</f>
        <v>4077</v>
      </c>
      <c r="Y13" s="565">
        <f t="shared" si="3"/>
        <v>0.37704363513361144</v>
      </c>
      <c r="Z13" s="476"/>
    </row>
    <row r="14" spans="1:26" s="68" customFormat="1" ht="21.75" customHeight="1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0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603">
        <f t="shared" si="1"/>
        <v>5.31</v>
      </c>
      <c r="N14" s="471">
        <f>+'CX'!N32</f>
        <v>0.2</v>
      </c>
      <c r="O14" s="471">
        <f>+'CX'!O32</f>
        <v>2.7099999999999995</v>
      </c>
      <c r="P14" s="471">
        <f>+'CX'!P32</f>
        <v>2.4</v>
      </c>
      <c r="Q14" s="471"/>
      <c r="R14" s="618">
        <f>+'CX'!R32</f>
        <v>0</v>
      </c>
      <c r="S14" s="603">
        <f t="shared" si="2"/>
        <v>26.77</v>
      </c>
      <c r="T14" s="471">
        <f>+'CX'!T32</f>
        <v>1.7</v>
      </c>
      <c r="U14" s="471">
        <f>+'CX'!U32</f>
        <v>17.82</v>
      </c>
      <c r="V14" s="471">
        <f>+'CX'!V32</f>
        <v>7.25</v>
      </c>
      <c r="W14" s="471"/>
      <c r="X14" s="618">
        <f>+'CX'!X32</f>
        <v>1965.85</v>
      </c>
      <c r="Y14" s="604">
        <f t="shared" si="3"/>
        <v>0.2007950795079508</v>
      </c>
      <c r="Z14" s="473"/>
    </row>
    <row r="15" spans="1:26" s="26" customFormat="1" ht="21.75" customHeight="1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0"/>
        <v>94</v>
      </c>
      <c r="H15" s="558">
        <v>28.09</v>
      </c>
      <c r="I15" s="558">
        <v>48.3</v>
      </c>
      <c r="J15" s="558">
        <v>17.61</v>
      </c>
      <c r="K15" s="531"/>
      <c r="L15" s="629">
        <v>12917.85</v>
      </c>
      <c r="M15" s="603">
        <f t="shared" si="1"/>
        <v>3.15</v>
      </c>
      <c r="N15" s="471">
        <f>+TH!N38</f>
        <v>0</v>
      </c>
      <c r="O15" s="471">
        <f>+TH!O38</f>
        <v>2.65</v>
      </c>
      <c r="P15" s="471">
        <f>+TH!P38</f>
        <v>0.5</v>
      </c>
      <c r="Q15" s="471"/>
      <c r="R15" s="618">
        <f>+TH!R38</f>
        <v>611</v>
      </c>
      <c r="S15" s="603">
        <f t="shared" si="2"/>
        <v>34.63700000000001</v>
      </c>
      <c r="T15" s="471">
        <f>+TH!T38</f>
        <v>7.890000000000001</v>
      </c>
      <c r="U15" s="471">
        <f>+TH!U38</f>
        <v>21.847000000000005</v>
      </c>
      <c r="V15" s="471">
        <f>+TH!V38</f>
        <v>4.9</v>
      </c>
      <c r="W15" s="471"/>
      <c r="X15" s="618">
        <f>+TH!X38</f>
        <v>4143.8</v>
      </c>
      <c r="Y15" s="604">
        <f t="shared" si="3"/>
        <v>0.3684787234042554</v>
      </c>
      <c r="Z15" s="476"/>
    </row>
    <row r="16" spans="1:26" s="68" customFormat="1" ht="21.75" customHeight="1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0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603">
        <f t="shared" si="1"/>
        <v>0.95</v>
      </c>
      <c r="N16" s="471">
        <f>+NX!N21</f>
        <v>0.95</v>
      </c>
      <c r="O16" s="471">
        <f>+NX!O21</f>
        <v>0</v>
      </c>
      <c r="P16" s="471">
        <f>+NX!P21</f>
        <v>0</v>
      </c>
      <c r="Q16" s="471"/>
      <c r="R16" s="618">
        <f>+NX!R21</f>
        <v>263.3</v>
      </c>
      <c r="S16" s="603">
        <f t="shared" si="2"/>
        <v>0.95</v>
      </c>
      <c r="T16" s="471">
        <f>+NX!T21</f>
        <v>0.95</v>
      </c>
      <c r="U16" s="471">
        <f>+NX!U21</f>
        <v>0</v>
      </c>
      <c r="V16" s="471">
        <f>+NX!V21</f>
        <v>0</v>
      </c>
      <c r="W16" s="471"/>
      <c r="X16" s="618">
        <f>+NX!X21</f>
        <v>263.3</v>
      </c>
      <c r="Y16" s="604">
        <f t="shared" si="3"/>
        <v>0.02463692946058091</v>
      </c>
      <c r="Z16" s="473"/>
    </row>
    <row r="17" spans="1:26" s="68" customFormat="1" ht="19.5" customHeight="1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0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14117.22</v>
      </c>
      <c r="M17" s="603">
        <f t="shared" si="1"/>
        <v>2.45</v>
      </c>
      <c r="N17" s="471">
        <f>+KA!J40</f>
        <v>2.25</v>
      </c>
      <c r="O17" s="471">
        <f>+KA!K40</f>
        <v>0.2</v>
      </c>
      <c r="P17" s="471">
        <f>+KA!L40</f>
        <v>0</v>
      </c>
      <c r="Q17" s="471"/>
      <c r="R17" s="618">
        <f>+KA!N40</f>
        <v>578</v>
      </c>
      <c r="S17" s="603">
        <f t="shared" si="2"/>
        <v>20.6</v>
      </c>
      <c r="T17" s="471">
        <f>+KA!P40</f>
        <v>8.21</v>
      </c>
      <c r="U17" s="471">
        <f>+KA!Q40</f>
        <v>12.39</v>
      </c>
      <c r="V17" s="471">
        <f>+KA!R40</f>
        <v>0</v>
      </c>
      <c r="W17" s="471"/>
      <c r="X17" s="618">
        <f>+KA!T40</f>
        <v>3037.3</v>
      </c>
      <c r="Y17" s="563">
        <f t="shared" si="3"/>
        <v>0.22376710840756034</v>
      </c>
      <c r="Z17" s="473"/>
    </row>
    <row r="18" spans="1:26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0"/>
        <v>2.6</v>
      </c>
      <c r="H18" s="607">
        <v>1</v>
      </c>
      <c r="I18" s="607"/>
      <c r="J18" s="607">
        <v>1.6</v>
      </c>
      <c r="K18" s="531"/>
      <c r="L18" s="629">
        <v>438</v>
      </c>
      <c r="M18" s="626">
        <f t="shared" si="1"/>
        <v>0</v>
      </c>
      <c r="N18" s="623">
        <f>+TXHL!N8</f>
        <v>0</v>
      </c>
      <c r="O18" s="623">
        <f>+TXHL!O8</f>
        <v>0</v>
      </c>
      <c r="P18" s="623">
        <f>+TXHL!P8</f>
        <v>0</v>
      </c>
      <c r="Q18" s="623"/>
      <c r="R18" s="618">
        <f>+TXHL!R8</f>
        <v>0</v>
      </c>
      <c r="S18" s="608">
        <f t="shared" si="2"/>
        <v>1.198</v>
      </c>
      <c r="T18" s="607">
        <f>+TXHL!T8</f>
        <v>0.43</v>
      </c>
      <c r="U18" s="623">
        <f>+TXHL!U8</f>
        <v>0</v>
      </c>
      <c r="V18" s="607">
        <f>+TXHL!V8</f>
        <v>0.768</v>
      </c>
      <c r="W18" s="623"/>
      <c r="X18" s="618">
        <f>+TXHL!X8</f>
        <v>35</v>
      </c>
      <c r="Y18" s="563">
        <f t="shared" si="3"/>
        <v>0.4607692307692307</v>
      </c>
      <c r="Z18" s="473"/>
    </row>
    <row r="19" spans="1:26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09">
        <f t="shared" si="0"/>
        <v>18</v>
      </c>
      <c r="H19" s="609">
        <v>4</v>
      </c>
      <c r="I19" s="609">
        <v>4.4</v>
      </c>
      <c r="J19" s="609">
        <v>9.6</v>
      </c>
      <c r="K19" s="633"/>
      <c r="L19" s="630">
        <v>2384</v>
      </c>
      <c r="M19" s="581">
        <f t="shared" si="1"/>
        <v>5.5</v>
      </c>
      <c r="N19" s="582">
        <f>+TPHT!N13</f>
        <v>1.6</v>
      </c>
      <c r="O19" s="582">
        <f>+TPHT!O13</f>
        <v>0.2</v>
      </c>
      <c r="P19" s="582">
        <f>+TPHT!P13</f>
        <v>3.7</v>
      </c>
      <c r="Q19" s="625"/>
      <c r="R19" s="628">
        <f>+TPHT!R13</f>
        <v>470</v>
      </c>
      <c r="S19" s="584">
        <f t="shared" si="2"/>
        <v>5.5</v>
      </c>
      <c r="T19" s="585">
        <f>+TPHT!T13</f>
        <v>1.6</v>
      </c>
      <c r="U19" s="585">
        <f>+TPHT!U13</f>
        <v>0.2</v>
      </c>
      <c r="V19" s="585">
        <f>+TPHT!V13</f>
        <v>3.7</v>
      </c>
      <c r="W19" s="624"/>
      <c r="X19" s="621">
        <f>+TPHT!X13</f>
        <v>470</v>
      </c>
      <c r="Y19" s="610">
        <f>+S19/G19</f>
        <v>0.3055555555555556</v>
      </c>
      <c r="Z19" s="587"/>
    </row>
    <row r="20" spans="1:26" ht="21.75" customHeight="1">
      <c r="A20" s="910" t="s">
        <v>23</v>
      </c>
      <c r="B20" s="911"/>
      <c r="C20" s="478">
        <f aca="true" t="shared" si="4" ref="C20:Q20">+SUM(C8:C19)</f>
        <v>976.8000000000001</v>
      </c>
      <c r="D20" s="588">
        <f t="shared" si="4"/>
        <v>369.9</v>
      </c>
      <c r="E20" s="588">
        <f t="shared" si="4"/>
        <v>358.7</v>
      </c>
      <c r="F20" s="588">
        <f t="shared" si="4"/>
        <v>248.19999999999996</v>
      </c>
      <c r="G20" s="589">
        <f t="shared" si="4"/>
        <v>747.168</v>
      </c>
      <c r="H20" s="590">
        <f t="shared" si="4"/>
        <v>231.515</v>
      </c>
      <c r="I20" s="590">
        <f t="shared" si="4"/>
        <v>317.46799999999996</v>
      </c>
      <c r="J20" s="590">
        <f t="shared" si="4"/>
        <v>195.055</v>
      </c>
      <c r="K20" s="590">
        <f>+SUM(K8:K19)</f>
        <v>3.13</v>
      </c>
      <c r="L20" s="615">
        <f t="shared" si="4"/>
        <v>108098.62800000001</v>
      </c>
      <c r="M20" s="592">
        <f t="shared" si="4"/>
        <v>67.23060000000001</v>
      </c>
      <c r="N20" s="593">
        <f t="shared" si="4"/>
        <v>17.505000000000003</v>
      </c>
      <c r="O20" s="593">
        <f t="shared" si="4"/>
        <v>27.9136</v>
      </c>
      <c r="P20" s="594">
        <f t="shared" si="4"/>
        <v>21.612</v>
      </c>
      <c r="Q20" s="594">
        <f t="shared" si="4"/>
        <v>0.2</v>
      </c>
      <c r="R20" s="622">
        <f aca="true" t="shared" si="5" ref="R20:X20">+SUM(R8:R19)</f>
        <v>6877.102820000001</v>
      </c>
      <c r="S20" s="594">
        <f t="shared" si="5"/>
        <v>221.869</v>
      </c>
      <c r="T20" s="593">
        <f t="shared" si="5"/>
        <v>48.583000000000006</v>
      </c>
      <c r="U20" s="594">
        <f t="shared" si="5"/>
        <v>120.43800000000002</v>
      </c>
      <c r="V20" s="594">
        <f t="shared" si="5"/>
        <v>52.348000000000006</v>
      </c>
      <c r="W20" s="594">
        <f t="shared" si="5"/>
        <v>0.5</v>
      </c>
      <c r="X20" s="622">
        <f t="shared" si="5"/>
        <v>28059.311999999994</v>
      </c>
      <c r="Y20" s="596">
        <f>+S20/G20</f>
        <v>0.2969466037089383</v>
      </c>
      <c r="Z20" s="597"/>
    </row>
    <row r="21" spans="2:26" ht="30" customHeight="1">
      <c r="B21" s="890" t="s">
        <v>48</v>
      </c>
      <c r="C21" s="891"/>
      <c r="D21" s="891"/>
      <c r="E21" s="891"/>
      <c r="F21" s="891"/>
      <c r="G21" s="891"/>
      <c r="H21" s="891"/>
      <c r="I21" s="891"/>
      <c r="J21" s="891"/>
      <c r="K21" s="891"/>
      <c r="L21" s="891"/>
      <c r="M21" s="891"/>
      <c r="N21" s="891"/>
      <c r="O21" s="891"/>
      <c r="P21" s="891"/>
      <c r="Q21" s="891"/>
      <c r="R21" s="891"/>
      <c r="S21" s="891"/>
      <c r="T21" s="891"/>
      <c r="U21" s="891"/>
      <c r="V21" s="891"/>
      <c r="W21" s="891"/>
      <c r="X21" s="891"/>
      <c r="Y21" s="891"/>
      <c r="Z21" s="891"/>
    </row>
    <row r="22" spans="2:25" ht="15">
      <c r="B22" s="94" t="s">
        <v>49</v>
      </c>
      <c r="R22" s="95"/>
      <c r="U22" s="96"/>
      <c r="X22" s="85"/>
      <c r="Y22" s="84"/>
    </row>
    <row r="23" spans="2:24" ht="15">
      <c r="B23" s="462" t="s">
        <v>297</v>
      </c>
      <c r="G23" s="87"/>
      <c r="N23" s="96"/>
      <c r="S23" s="88"/>
      <c r="X23" s="83"/>
    </row>
  </sheetData>
  <sheetProtection/>
  <mergeCells count="24">
    <mergeCell ref="H5:K5"/>
    <mergeCell ref="X5:X6"/>
    <mergeCell ref="A20:B20"/>
    <mergeCell ref="B21:Z21"/>
    <mergeCell ref="A1:Z1"/>
    <mergeCell ref="A2:Z2"/>
    <mergeCell ref="A3:Z3"/>
    <mergeCell ref="G4:L4"/>
    <mergeCell ref="M4:R4"/>
    <mergeCell ref="S4:X4"/>
    <mergeCell ref="A4:A6"/>
    <mergeCell ref="C5:C6"/>
    <mergeCell ref="D5:F5"/>
    <mergeCell ref="B4:B6"/>
    <mergeCell ref="C4:F4"/>
    <mergeCell ref="G5:G6"/>
    <mergeCell ref="L5:L6"/>
    <mergeCell ref="R5:R6"/>
    <mergeCell ref="S5:S6"/>
    <mergeCell ref="T5:W5"/>
    <mergeCell ref="Z4:Z6"/>
    <mergeCell ref="M5:M6"/>
    <mergeCell ref="N5:Q5"/>
    <mergeCell ref="Y4:Y6"/>
  </mergeCells>
  <printOptions/>
  <pageMargins left="0.2" right="0.2" top="0.58" bottom="0.36" header="0.31496062992125984" footer="0.31496062992125984"/>
  <pageSetup horizontalDpi="600" verticalDpi="6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23"/>
  <sheetViews>
    <sheetView zoomScale="70" zoomScaleNormal="70" zoomScalePageLayoutView="0" workbookViewId="0" topLeftCell="A1">
      <selection activeCell="M5" sqref="M5:M6"/>
    </sheetView>
  </sheetViews>
  <sheetFormatPr defaultColWidth="9.00390625" defaultRowHeight="14.25"/>
  <cols>
    <col min="1" max="1" width="3.625" style="26" customWidth="1"/>
    <col min="2" max="2" width="12.625" style="26" customWidth="1"/>
    <col min="3" max="3" width="0.12890625" style="163" hidden="1" customWidth="1"/>
    <col min="4" max="4" width="7.75390625" style="26" hidden="1" customWidth="1"/>
    <col min="5" max="5" width="7.50390625" style="26" hidden="1" customWidth="1"/>
    <col min="6" max="6" width="9.375" style="26" hidden="1" customWidth="1"/>
    <col min="7" max="7" width="4.875" style="163" customWidth="1"/>
    <col min="8" max="8" width="6.25390625" style="26" customWidth="1"/>
    <col min="9" max="9" width="5.375" style="26" customWidth="1"/>
    <col min="10" max="10" width="6.50390625" style="26" customWidth="1"/>
    <col min="11" max="11" width="6.125" style="26" customWidth="1"/>
    <col min="12" max="12" width="7.00390625" style="26" customWidth="1"/>
    <col min="13" max="13" width="4.875" style="163" customWidth="1"/>
    <col min="14" max="14" width="5.00390625" style="26" customWidth="1"/>
    <col min="15" max="15" width="5.375" style="26" customWidth="1"/>
    <col min="16" max="16" width="5.50390625" style="26" customWidth="1"/>
    <col min="17" max="17" width="5.75390625" style="26" customWidth="1"/>
    <col min="18" max="18" width="6.50390625" style="26" customWidth="1"/>
    <col min="19" max="19" width="5.75390625" style="163" customWidth="1"/>
    <col min="20" max="20" width="6.00390625" style="26" customWidth="1"/>
    <col min="21" max="21" width="5.125" style="26" customWidth="1"/>
    <col min="22" max="22" width="6.125" style="26" customWidth="1"/>
    <col min="23" max="23" width="5.625" style="26" customWidth="1"/>
    <col min="24" max="24" width="7.25390625" style="26" customWidth="1"/>
    <col min="25" max="25" width="7.375" style="26" customWidth="1"/>
    <col min="26" max="26" width="4.50390625" style="26" customWidth="1"/>
    <col min="27" max="16384" width="9.00390625" style="26" customWidth="1"/>
  </cols>
  <sheetData>
    <row r="1" spans="1:26" ht="30" customHeight="1">
      <c r="A1" s="856" t="s">
        <v>298</v>
      </c>
      <c r="B1" s="856"/>
      <c r="C1" s="856"/>
      <c r="D1" s="856"/>
      <c r="E1" s="856"/>
      <c r="F1" s="856"/>
      <c r="G1" s="856"/>
      <c r="H1" s="856"/>
      <c r="I1" s="856"/>
      <c r="J1" s="856"/>
      <c r="K1" s="856"/>
      <c r="L1" s="856"/>
      <c r="M1" s="856"/>
      <c r="N1" s="856"/>
      <c r="O1" s="856"/>
      <c r="P1" s="856"/>
      <c r="Q1" s="856"/>
      <c r="R1" s="856"/>
      <c r="S1" s="856"/>
      <c r="T1" s="856"/>
      <c r="U1" s="856"/>
      <c r="V1" s="856"/>
      <c r="W1" s="856"/>
      <c r="X1" s="856"/>
      <c r="Y1" s="856"/>
      <c r="Z1" s="856"/>
    </row>
    <row r="2" spans="1:26" s="148" customFormat="1" ht="22.5" customHeight="1">
      <c r="A2" s="857" t="s">
        <v>305</v>
      </c>
      <c r="B2" s="857"/>
      <c r="C2" s="857"/>
      <c r="D2" s="857"/>
      <c r="E2" s="857"/>
      <c r="F2" s="857"/>
      <c r="G2" s="857"/>
      <c r="H2" s="857"/>
      <c r="I2" s="857"/>
      <c r="J2" s="857"/>
      <c r="K2" s="857"/>
      <c r="L2" s="857"/>
      <c r="M2" s="857"/>
      <c r="N2" s="857"/>
      <c r="O2" s="857"/>
      <c r="P2" s="857"/>
      <c r="Q2" s="857"/>
      <c r="R2" s="857"/>
      <c r="S2" s="857"/>
      <c r="T2" s="857"/>
      <c r="U2" s="857"/>
      <c r="V2" s="857"/>
      <c r="W2" s="857"/>
      <c r="X2" s="857"/>
      <c r="Y2" s="857"/>
      <c r="Z2" s="857"/>
    </row>
    <row r="3" spans="1:26" s="148" customFormat="1" ht="22.5" customHeight="1">
      <c r="A3" s="858"/>
      <c r="B3" s="858"/>
      <c r="C3" s="858"/>
      <c r="D3" s="858"/>
      <c r="E3" s="858"/>
      <c r="F3" s="858"/>
      <c r="G3" s="858"/>
      <c r="H3" s="858"/>
      <c r="I3" s="858"/>
      <c r="J3" s="858"/>
      <c r="K3" s="858"/>
      <c r="L3" s="858"/>
      <c r="M3" s="858"/>
      <c r="N3" s="858"/>
      <c r="O3" s="858"/>
      <c r="P3" s="858"/>
      <c r="Q3" s="858"/>
      <c r="R3" s="858"/>
      <c r="S3" s="858"/>
      <c r="T3" s="858"/>
      <c r="U3" s="858"/>
      <c r="V3" s="858"/>
      <c r="W3" s="858"/>
      <c r="X3" s="858"/>
      <c r="Y3" s="858"/>
      <c r="Z3" s="858"/>
    </row>
    <row r="4" spans="1:26" s="151" customFormat="1" ht="33" customHeight="1">
      <c r="A4" s="859" t="s">
        <v>0</v>
      </c>
      <c r="B4" s="860" t="s">
        <v>160</v>
      </c>
      <c r="C4" s="861" t="s">
        <v>25</v>
      </c>
      <c r="D4" s="861"/>
      <c r="E4" s="861"/>
      <c r="F4" s="861"/>
      <c r="G4" s="845" t="s">
        <v>26</v>
      </c>
      <c r="H4" s="846"/>
      <c r="I4" s="846"/>
      <c r="J4" s="846"/>
      <c r="K4" s="846"/>
      <c r="L4" s="847"/>
      <c r="M4" s="845" t="s">
        <v>44</v>
      </c>
      <c r="N4" s="846"/>
      <c r="O4" s="846"/>
      <c r="P4" s="846"/>
      <c r="Q4" s="846"/>
      <c r="R4" s="847"/>
      <c r="S4" s="848" t="s">
        <v>45</v>
      </c>
      <c r="T4" s="849"/>
      <c r="U4" s="849"/>
      <c r="V4" s="849"/>
      <c r="W4" s="849"/>
      <c r="X4" s="850"/>
      <c r="Y4" s="866" t="s">
        <v>43</v>
      </c>
      <c r="Z4" s="866" t="s">
        <v>14</v>
      </c>
    </row>
    <row r="5" spans="1:26" s="151" customFormat="1" ht="15.75" customHeight="1">
      <c r="A5" s="859"/>
      <c r="B5" s="860"/>
      <c r="C5" s="861" t="s">
        <v>20</v>
      </c>
      <c r="D5" s="868" t="s">
        <v>21</v>
      </c>
      <c r="E5" s="868"/>
      <c r="F5" s="868"/>
      <c r="G5" s="860" t="s">
        <v>38</v>
      </c>
      <c r="H5" s="869" t="s">
        <v>21</v>
      </c>
      <c r="I5" s="869"/>
      <c r="J5" s="869"/>
      <c r="K5" s="869"/>
      <c r="L5" s="854" t="s">
        <v>202</v>
      </c>
      <c r="M5" s="860" t="s">
        <v>38</v>
      </c>
      <c r="N5" s="851" t="s">
        <v>21</v>
      </c>
      <c r="O5" s="852"/>
      <c r="P5" s="852"/>
      <c r="Q5" s="853"/>
      <c r="R5" s="854" t="s">
        <v>37</v>
      </c>
      <c r="S5" s="860" t="s">
        <v>38</v>
      </c>
      <c r="T5" s="851" t="s">
        <v>21</v>
      </c>
      <c r="U5" s="852"/>
      <c r="V5" s="852"/>
      <c r="W5" s="853"/>
      <c r="X5" s="854" t="s">
        <v>37</v>
      </c>
      <c r="Y5" s="866"/>
      <c r="Z5" s="866"/>
    </row>
    <row r="6" spans="1:26" s="151" customFormat="1" ht="95.25" customHeight="1">
      <c r="A6" s="859"/>
      <c r="B6" s="860"/>
      <c r="C6" s="861"/>
      <c r="D6" s="154" t="s">
        <v>17</v>
      </c>
      <c r="E6" s="154" t="s">
        <v>18</v>
      </c>
      <c r="F6" s="154" t="s">
        <v>19</v>
      </c>
      <c r="G6" s="860"/>
      <c r="H6" s="149" t="s">
        <v>39</v>
      </c>
      <c r="I6" s="149" t="s">
        <v>40</v>
      </c>
      <c r="J6" s="149" t="s">
        <v>41</v>
      </c>
      <c r="K6" s="149" t="s">
        <v>42</v>
      </c>
      <c r="L6" s="855"/>
      <c r="M6" s="860"/>
      <c r="N6" s="149" t="s">
        <v>39</v>
      </c>
      <c r="O6" s="149" t="s">
        <v>40</v>
      </c>
      <c r="P6" s="149" t="s">
        <v>41</v>
      </c>
      <c r="Q6" s="149" t="s">
        <v>42</v>
      </c>
      <c r="R6" s="855"/>
      <c r="S6" s="860"/>
      <c r="T6" s="149" t="s">
        <v>39</v>
      </c>
      <c r="U6" s="149" t="s">
        <v>40</v>
      </c>
      <c r="V6" s="149" t="s">
        <v>41</v>
      </c>
      <c r="W6" s="149" t="s">
        <v>42</v>
      </c>
      <c r="X6" s="855"/>
      <c r="Y6" s="866"/>
      <c r="Z6" s="866"/>
    </row>
    <row r="7" spans="1:26" s="68" customFormat="1" ht="24" customHeight="1">
      <c r="A7" s="174">
        <v>1</v>
      </c>
      <c r="B7" s="275" t="s">
        <v>188</v>
      </c>
      <c r="C7" s="126"/>
      <c r="D7" s="127"/>
      <c r="E7" s="127"/>
      <c r="F7" s="127"/>
      <c r="G7" s="173">
        <f aca="true" t="shared" si="0" ref="G7:G19">SUM(H7:J7)</f>
        <v>2.4</v>
      </c>
      <c r="H7" s="278"/>
      <c r="I7" s="278"/>
      <c r="J7" s="278">
        <f>0.5+0.2+0.2+0.5+0.5+0.5</f>
        <v>2.4</v>
      </c>
      <c r="K7" s="285"/>
      <c r="L7" s="286"/>
      <c r="M7" s="181">
        <f aca="true" t="shared" si="1" ref="M7:M19">SUM(N7:Q7)</f>
        <v>0</v>
      </c>
      <c r="N7" s="281"/>
      <c r="O7" s="281"/>
      <c r="P7" s="281"/>
      <c r="Q7" s="281"/>
      <c r="R7" s="281">
        <v>65</v>
      </c>
      <c r="S7" s="181">
        <f aca="true" t="shared" si="2" ref="S7:S19">SUM(T7:W7)</f>
        <v>0</v>
      </c>
      <c r="T7" s="284"/>
      <c r="U7" s="284"/>
      <c r="V7" s="284"/>
      <c r="W7" s="284"/>
      <c r="X7" s="281">
        <v>65</v>
      </c>
      <c r="Y7" s="132">
        <f aca="true" t="shared" si="3" ref="Y7:Y20">+S7/G7</f>
        <v>0</v>
      </c>
      <c r="Z7" s="264"/>
    </row>
    <row r="8" spans="1:26" s="68" customFormat="1" ht="18" customHeight="1">
      <c r="A8" s="192">
        <v>2</v>
      </c>
      <c r="B8" s="276" t="s">
        <v>189</v>
      </c>
      <c r="C8" s="66"/>
      <c r="D8" s="72"/>
      <c r="E8" s="72"/>
      <c r="F8" s="72"/>
      <c r="G8" s="194">
        <f t="shared" si="0"/>
        <v>2.84</v>
      </c>
      <c r="H8" s="279">
        <v>0.7</v>
      </c>
      <c r="I8" s="279">
        <f>0.72+1.42</f>
        <v>2.1399999999999997</v>
      </c>
      <c r="J8" s="279"/>
      <c r="K8" s="72"/>
      <c r="L8" s="268"/>
      <c r="M8" s="195">
        <f t="shared" si="1"/>
        <v>0</v>
      </c>
      <c r="N8" s="282"/>
      <c r="O8" s="282"/>
      <c r="P8" s="282"/>
      <c r="Q8" s="282"/>
      <c r="R8" s="282">
        <v>0</v>
      </c>
      <c r="S8" s="195">
        <f t="shared" si="2"/>
        <v>1.72</v>
      </c>
      <c r="T8" s="282"/>
      <c r="U8" s="282">
        <v>1.72</v>
      </c>
      <c r="V8" s="282"/>
      <c r="W8" s="282"/>
      <c r="X8" s="282">
        <v>280</v>
      </c>
      <c r="Y8" s="202">
        <f t="shared" si="3"/>
        <v>0.6056338028169014</v>
      </c>
      <c r="Z8" s="265"/>
    </row>
    <row r="9" spans="1:26" ht="24.75" customHeight="1">
      <c r="A9" s="192">
        <v>3</v>
      </c>
      <c r="B9" s="276" t="s">
        <v>190</v>
      </c>
      <c r="C9" s="23"/>
      <c r="D9" s="22"/>
      <c r="E9" s="22"/>
      <c r="F9" s="22"/>
      <c r="G9" s="194">
        <f t="shared" si="0"/>
        <v>3</v>
      </c>
      <c r="H9" s="279">
        <v>3</v>
      </c>
      <c r="I9" s="279"/>
      <c r="J9" s="279"/>
      <c r="K9" s="22"/>
      <c r="L9" s="268"/>
      <c r="M9" s="196">
        <f t="shared" si="1"/>
        <v>1.5</v>
      </c>
      <c r="N9" s="282">
        <v>1.5</v>
      </c>
      <c r="O9" s="282"/>
      <c r="P9" s="282"/>
      <c r="Q9" s="282"/>
      <c r="R9" s="282">
        <v>224</v>
      </c>
      <c r="S9" s="196">
        <f t="shared" si="2"/>
        <v>1.79</v>
      </c>
      <c r="T9" s="282">
        <f>0.29+1.5</f>
        <v>1.79</v>
      </c>
      <c r="U9" s="282"/>
      <c r="V9" s="282"/>
      <c r="W9" s="282"/>
      <c r="X9" s="282">
        <v>339</v>
      </c>
      <c r="Y9" s="202">
        <f t="shared" si="3"/>
        <v>0.5966666666666667</v>
      </c>
      <c r="Z9" s="41"/>
    </row>
    <row r="10" spans="1:26" ht="21.75" customHeight="1">
      <c r="A10" s="192">
        <v>4</v>
      </c>
      <c r="B10" s="276" t="s">
        <v>191</v>
      </c>
      <c r="C10" s="23"/>
      <c r="D10" s="22"/>
      <c r="E10" s="22"/>
      <c r="F10" s="22"/>
      <c r="G10" s="194">
        <f t="shared" si="0"/>
        <v>3.3600000000000003</v>
      </c>
      <c r="H10" s="279">
        <v>2.18</v>
      </c>
      <c r="I10" s="279"/>
      <c r="J10" s="279">
        <v>1.18</v>
      </c>
      <c r="K10" s="22"/>
      <c r="L10" s="268"/>
      <c r="M10" s="196">
        <f t="shared" si="1"/>
        <v>0.89</v>
      </c>
      <c r="N10" s="282"/>
      <c r="O10" s="282">
        <v>0.89</v>
      </c>
      <c r="P10" s="282"/>
      <c r="Q10" s="282"/>
      <c r="R10" s="282">
        <v>135</v>
      </c>
      <c r="S10" s="196">
        <f t="shared" si="2"/>
        <v>1.2</v>
      </c>
      <c r="T10" s="282"/>
      <c r="U10" s="282">
        <v>1.2</v>
      </c>
      <c r="V10" s="282"/>
      <c r="W10" s="282"/>
      <c r="X10" s="282">
        <v>335</v>
      </c>
      <c r="Y10" s="202">
        <f t="shared" si="3"/>
        <v>0.3571428571428571</v>
      </c>
      <c r="Z10" s="41"/>
    </row>
    <row r="11" spans="1:26" s="68" customFormat="1" ht="21.75" customHeight="1">
      <c r="A11" s="192">
        <v>5</v>
      </c>
      <c r="B11" s="276" t="s">
        <v>192</v>
      </c>
      <c r="C11" s="66"/>
      <c r="D11" s="72"/>
      <c r="E11" s="72"/>
      <c r="F11" s="72"/>
      <c r="G11" s="194">
        <f t="shared" si="0"/>
        <v>1.977</v>
      </c>
      <c r="H11" s="279">
        <v>0.548</v>
      </c>
      <c r="I11" s="279">
        <f>1.977-H11</f>
        <v>1.429</v>
      </c>
      <c r="J11" s="279"/>
      <c r="K11" s="72"/>
      <c r="L11" s="268"/>
      <c r="M11" s="197">
        <f t="shared" si="1"/>
        <v>1</v>
      </c>
      <c r="N11" s="282"/>
      <c r="O11" s="282">
        <v>1</v>
      </c>
      <c r="P11" s="282"/>
      <c r="Q11" s="282"/>
      <c r="R11" s="282">
        <v>43</v>
      </c>
      <c r="S11" s="197">
        <f t="shared" si="2"/>
        <v>1</v>
      </c>
      <c r="T11" s="282"/>
      <c r="U11" s="282">
        <v>1</v>
      </c>
      <c r="V11" s="282"/>
      <c r="W11" s="282"/>
      <c r="X11" s="282">
        <v>258</v>
      </c>
      <c r="Y11" s="202">
        <f t="shared" si="3"/>
        <v>0.5058168942842691</v>
      </c>
      <c r="Z11" s="265"/>
    </row>
    <row r="12" spans="1:26" s="68" customFormat="1" ht="21.75" customHeight="1">
      <c r="A12" s="192">
        <v>6</v>
      </c>
      <c r="B12" s="276" t="s">
        <v>193</v>
      </c>
      <c r="C12" s="66"/>
      <c r="D12" s="72"/>
      <c r="E12" s="72"/>
      <c r="F12" s="72"/>
      <c r="G12" s="194">
        <f t="shared" si="0"/>
        <v>1</v>
      </c>
      <c r="H12" s="279">
        <f>0.35+0.1+0.1</f>
        <v>0.5499999999999999</v>
      </c>
      <c r="I12" s="279">
        <v>0.45</v>
      </c>
      <c r="J12" s="279"/>
      <c r="K12" s="72"/>
      <c r="L12" s="268"/>
      <c r="M12" s="197">
        <f t="shared" si="1"/>
        <v>0.1</v>
      </c>
      <c r="N12" s="282"/>
      <c r="O12" s="282">
        <v>0.1</v>
      </c>
      <c r="P12" s="282"/>
      <c r="Q12" s="282"/>
      <c r="R12" s="282">
        <v>0</v>
      </c>
      <c r="S12" s="197">
        <f t="shared" si="2"/>
        <v>0.2</v>
      </c>
      <c r="T12" s="282">
        <v>0.1</v>
      </c>
      <c r="U12" s="282">
        <v>0.1</v>
      </c>
      <c r="V12" s="282"/>
      <c r="W12" s="282"/>
      <c r="X12" s="282">
        <v>30</v>
      </c>
      <c r="Y12" s="202">
        <f t="shared" si="3"/>
        <v>0.2</v>
      </c>
      <c r="Z12" s="265"/>
    </row>
    <row r="13" spans="1:26" s="68" customFormat="1" ht="21.75" customHeight="1">
      <c r="A13" s="192">
        <v>7</v>
      </c>
      <c r="B13" s="276" t="s">
        <v>194</v>
      </c>
      <c r="C13" s="66"/>
      <c r="D13" s="72"/>
      <c r="E13" s="72"/>
      <c r="F13" s="72"/>
      <c r="G13" s="194">
        <f t="shared" si="0"/>
        <v>0.885</v>
      </c>
      <c r="H13" s="279">
        <f>0.335+0.2</f>
        <v>0.535</v>
      </c>
      <c r="I13" s="279">
        <v>0.35</v>
      </c>
      <c r="J13" s="279"/>
      <c r="K13" s="72"/>
      <c r="L13" s="268"/>
      <c r="M13" s="197">
        <f t="shared" si="1"/>
        <v>0</v>
      </c>
      <c r="N13" s="282"/>
      <c r="O13" s="282"/>
      <c r="P13" s="282"/>
      <c r="Q13" s="282"/>
      <c r="R13" s="282"/>
      <c r="S13" s="197">
        <f t="shared" si="2"/>
        <v>0.35</v>
      </c>
      <c r="T13" s="282"/>
      <c r="U13" s="282">
        <v>0.35</v>
      </c>
      <c r="V13" s="282"/>
      <c r="W13" s="282"/>
      <c r="X13" s="282">
        <v>51</v>
      </c>
      <c r="Y13" s="202">
        <f t="shared" si="3"/>
        <v>0.39548022598870053</v>
      </c>
      <c r="Z13" s="265"/>
    </row>
    <row r="14" spans="1:26" s="68" customFormat="1" ht="21.75" customHeight="1">
      <c r="A14" s="192">
        <v>8</v>
      </c>
      <c r="B14" s="276" t="s">
        <v>195</v>
      </c>
      <c r="C14" s="66"/>
      <c r="D14" s="72"/>
      <c r="E14" s="72"/>
      <c r="F14" s="72"/>
      <c r="G14" s="194">
        <f t="shared" si="0"/>
        <v>4.25</v>
      </c>
      <c r="H14" s="279"/>
      <c r="I14" s="279">
        <v>3.65</v>
      </c>
      <c r="J14" s="279">
        <v>0.6</v>
      </c>
      <c r="K14" s="72"/>
      <c r="L14" s="268"/>
      <c r="M14" s="197">
        <f t="shared" si="1"/>
        <v>2.15</v>
      </c>
      <c r="N14" s="282"/>
      <c r="O14" s="282">
        <v>1.85</v>
      </c>
      <c r="P14" s="282">
        <v>0.3</v>
      </c>
      <c r="Q14" s="282"/>
      <c r="R14" s="282"/>
      <c r="S14" s="197">
        <f t="shared" si="2"/>
        <v>3.9499999999999997</v>
      </c>
      <c r="T14" s="282"/>
      <c r="U14" s="282">
        <v>3.65</v>
      </c>
      <c r="V14" s="282">
        <v>0.3</v>
      </c>
      <c r="W14" s="282"/>
      <c r="X14" s="282">
        <v>560</v>
      </c>
      <c r="Y14" s="202">
        <f t="shared" si="3"/>
        <v>0.9294117647058823</v>
      </c>
      <c r="Z14" s="265"/>
    </row>
    <row r="15" spans="1:26" s="68" customFormat="1" ht="21.75" customHeight="1">
      <c r="A15" s="192">
        <v>9</v>
      </c>
      <c r="B15" s="276" t="s">
        <v>196</v>
      </c>
      <c r="C15" s="66"/>
      <c r="D15" s="72"/>
      <c r="E15" s="72"/>
      <c r="F15" s="72"/>
      <c r="G15" s="194">
        <f t="shared" si="0"/>
        <v>2.7</v>
      </c>
      <c r="H15" s="279">
        <v>2.7</v>
      </c>
      <c r="I15" s="279"/>
      <c r="J15" s="279"/>
      <c r="K15" s="72"/>
      <c r="L15" s="268"/>
      <c r="M15" s="197">
        <f t="shared" si="1"/>
        <v>0</v>
      </c>
      <c r="N15" s="282"/>
      <c r="O15" s="282"/>
      <c r="P15" s="282"/>
      <c r="Q15" s="282"/>
      <c r="R15" s="282">
        <v>130</v>
      </c>
      <c r="S15" s="197">
        <f t="shared" si="2"/>
        <v>0</v>
      </c>
      <c r="T15" s="282"/>
      <c r="U15" s="282"/>
      <c r="V15" s="282"/>
      <c r="W15" s="282"/>
      <c r="X15" s="282">
        <v>130</v>
      </c>
      <c r="Y15" s="202">
        <f t="shared" si="3"/>
        <v>0</v>
      </c>
      <c r="Z15" s="265"/>
    </row>
    <row r="16" spans="1:26" s="68" customFormat="1" ht="21.75" customHeight="1">
      <c r="A16" s="192">
        <v>10</v>
      </c>
      <c r="B16" s="276" t="s">
        <v>197</v>
      </c>
      <c r="C16" s="66"/>
      <c r="D16" s="72"/>
      <c r="E16" s="72"/>
      <c r="F16" s="72"/>
      <c r="G16" s="194">
        <f t="shared" si="0"/>
        <v>0.43</v>
      </c>
      <c r="H16" s="279">
        <v>0.43</v>
      </c>
      <c r="I16" s="279"/>
      <c r="J16" s="279"/>
      <c r="K16" s="72"/>
      <c r="L16" s="268"/>
      <c r="M16" s="197">
        <f t="shared" si="1"/>
        <v>0.07</v>
      </c>
      <c r="N16" s="282"/>
      <c r="O16" s="282">
        <v>0.07</v>
      </c>
      <c r="P16" s="282"/>
      <c r="Q16" s="282"/>
      <c r="R16" s="282">
        <v>10</v>
      </c>
      <c r="S16" s="197">
        <f t="shared" si="2"/>
        <v>0.17</v>
      </c>
      <c r="T16" s="282">
        <v>0.1</v>
      </c>
      <c r="U16" s="282">
        <v>0.07</v>
      </c>
      <c r="V16" s="282"/>
      <c r="W16" s="282"/>
      <c r="X16" s="282">
        <v>48</v>
      </c>
      <c r="Y16" s="202">
        <f t="shared" si="3"/>
        <v>0.39534883720930236</v>
      </c>
      <c r="Z16" s="265"/>
    </row>
    <row r="17" spans="1:26" s="68" customFormat="1" ht="21.75" customHeight="1">
      <c r="A17" s="192">
        <v>11</v>
      </c>
      <c r="B17" s="276" t="s">
        <v>198</v>
      </c>
      <c r="C17" s="66"/>
      <c r="D17" s="72"/>
      <c r="E17" s="72"/>
      <c r="F17" s="72"/>
      <c r="G17" s="194">
        <f t="shared" si="0"/>
        <v>5.510000000000001</v>
      </c>
      <c r="H17" s="279">
        <v>1.03</v>
      </c>
      <c r="I17" s="279">
        <v>4.48</v>
      </c>
      <c r="J17" s="279"/>
      <c r="K17" s="72"/>
      <c r="L17" s="268"/>
      <c r="M17" s="197">
        <f t="shared" si="1"/>
        <v>4.65</v>
      </c>
      <c r="N17" s="282">
        <v>1.03</v>
      </c>
      <c r="O17" s="282">
        <v>3.62</v>
      </c>
      <c r="P17" s="282"/>
      <c r="Q17" s="282"/>
      <c r="R17" s="282">
        <v>130</v>
      </c>
      <c r="S17" s="197">
        <f t="shared" si="2"/>
        <v>4.65</v>
      </c>
      <c r="T17" s="282">
        <v>1.03</v>
      </c>
      <c r="U17" s="282">
        <v>3.62</v>
      </c>
      <c r="V17" s="282"/>
      <c r="W17" s="282"/>
      <c r="X17" s="282">
        <v>890</v>
      </c>
      <c r="Y17" s="202">
        <f t="shared" si="3"/>
        <v>0.8439201451905626</v>
      </c>
      <c r="Z17" s="265"/>
    </row>
    <row r="18" spans="1:26" s="68" customFormat="1" ht="21.75" customHeight="1">
      <c r="A18" s="192">
        <v>12</v>
      </c>
      <c r="B18" s="276" t="s">
        <v>199</v>
      </c>
      <c r="C18" s="66"/>
      <c r="D18" s="72"/>
      <c r="E18" s="72"/>
      <c r="F18" s="72"/>
      <c r="G18" s="194">
        <f t="shared" si="0"/>
        <v>3</v>
      </c>
      <c r="H18" s="279">
        <f>1.4+0.5+0.6</f>
        <v>2.5</v>
      </c>
      <c r="I18" s="279">
        <v>0.5</v>
      </c>
      <c r="J18" s="279"/>
      <c r="K18" s="72"/>
      <c r="L18" s="268"/>
      <c r="M18" s="197">
        <f t="shared" si="1"/>
        <v>0</v>
      </c>
      <c r="N18" s="282"/>
      <c r="O18" s="282"/>
      <c r="P18" s="282"/>
      <c r="Q18" s="282"/>
      <c r="R18" s="282">
        <v>45</v>
      </c>
      <c r="S18" s="197">
        <f t="shared" si="2"/>
        <v>0.745</v>
      </c>
      <c r="T18" s="282">
        <v>0.257</v>
      </c>
      <c r="U18" s="282">
        <v>0.488</v>
      </c>
      <c r="V18" s="282"/>
      <c r="W18" s="282"/>
      <c r="X18" s="282">
        <v>247</v>
      </c>
      <c r="Y18" s="202">
        <f t="shared" si="3"/>
        <v>0.24833333333333332</v>
      </c>
      <c r="Z18" s="265"/>
    </row>
    <row r="19" spans="1:26" s="68" customFormat="1" ht="21.75" customHeight="1">
      <c r="A19" s="306">
        <v>13</v>
      </c>
      <c r="B19" s="277" t="s">
        <v>200</v>
      </c>
      <c r="C19" s="307"/>
      <c r="D19" s="204"/>
      <c r="E19" s="204"/>
      <c r="F19" s="204"/>
      <c r="G19" s="308">
        <f t="shared" si="0"/>
        <v>9.3</v>
      </c>
      <c r="H19" s="280">
        <v>0.4</v>
      </c>
      <c r="I19" s="280">
        <f>0.2+0.15+0.3</f>
        <v>0.6499999999999999</v>
      </c>
      <c r="J19" s="280">
        <f>9.3-I19-0.4</f>
        <v>8.25</v>
      </c>
      <c r="K19" s="204"/>
      <c r="L19" s="271"/>
      <c r="M19" s="309">
        <f t="shared" si="1"/>
        <v>7</v>
      </c>
      <c r="N19" s="283"/>
      <c r="O19" s="283"/>
      <c r="P19" s="283">
        <v>7</v>
      </c>
      <c r="Q19" s="283"/>
      <c r="R19" s="283">
        <f>470+60</f>
        <v>530</v>
      </c>
      <c r="S19" s="309">
        <f t="shared" si="2"/>
        <v>8</v>
      </c>
      <c r="T19" s="283"/>
      <c r="U19" s="283">
        <v>1</v>
      </c>
      <c r="V19" s="283">
        <v>7</v>
      </c>
      <c r="W19" s="283"/>
      <c r="X19" s="283">
        <f>1175+60</f>
        <v>1235</v>
      </c>
      <c r="Y19" s="297">
        <f t="shared" si="3"/>
        <v>0.8602150537634408</v>
      </c>
      <c r="Z19" s="310"/>
    </row>
    <row r="20" spans="1:26" ht="21.75" customHeight="1">
      <c r="A20" s="913" t="s">
        <v>23</v>
      </c>
      <c r="B20" s="913"/>
      <c r="C20" s="52">
        <f aca="true" t="shared" si="4" ref="C20:J20">+SUM(C7:C19)</f>
        <v>0</v>
      </c>
      <c r="D20" s="311">
        <f t="shared" si="4"/>
        <v>0</v>
      </c>
      <c r="E20" s="311">
        <f t="shared" si="4"/>
        <v>0</v>
      </c>
      <c r="F20" s="311">
        <f t="shared" si="4"/>
        <v>0</v>
      </c>
      <c r="G20" s="300">
        <f t="shared" si="4"/>
        <v>40.652</v>
      </c>
      <c r="H20" s="53">
        <f t="shared" si="4"/>
        <v>14.573</v>
      </c>
      <c r="I20" s="53">
        <f t="shared" si="4"/>
        <v>13.649000000000001</v>
      </c>
      <c r="J20" s="53">
        <f t="shared" si="4"/>
        <v>12.43</v>
      </c>
      <c r="K20" s="53"/>
      <c r="L20" s="298">
        <f>+SUM(L7:L19)</f>
        <v>0</v>
      </c>
      <c r="M20" s="300">
        <f>+SUM(M7:M19)</f>
        <v>17.36</v>
      </c>
      <c r="N20" s="300">
        <f>+SUM(N7:N19)</f>
        <v>2.5300000000000002</v>
      </c>
      <c r="O20" s="300">
        <f>+SUM(O7:O19)</f>
        <v>7.53</v>
      </c>
      <c r="P20" s="53">
        <f>+SUM(P7:P19)</f>
        <v>7.3</v>
      </c>
      <c r="Q20" s="53"/>
      <c r="R20" s="301">
        <f>+SUM(R7:R19)</f>
        <v>1312</v>
      </c>
      <c r="S20" s="53">
        <f>+SUM(S7:S19)</f>
        <v>23.775</v>
      </c>
      <c r="T20" s="300">
        <f>+SUM(T7:T19)</f>
        <v>3.2770000000000006</v>
      </c>
      <c r="U20" s="53">
        <f>+SUM(U7:U19)</f>
        <v>13.198</v>
      </c>
      <c r="V20" s="53">
        <f>+SUM(V7:V19)</f>
        <v>7.3</v>
      </c>
      <c r="W20" s="53"/>
      <c r="X20" s="301">
        <f>+SUM(X7:X19)</f>
        <v>4468</v>
      </c>
      <c r="Y20" s="161">
        <f t="shared" si="3"/>
        <v>0.5848420741906917</v>
      </c>
      <c r="Z20" s="302"/>
    </row>
    <row r="21" spans="2:26" ht="15">
      <c r="B21" s="170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</row>
    <row r="22" spans="2:25" ht="15">
      <c r="B22" s="162"/>
      <c r="R22" s="164"/>
      <c r="U22" s="36"/>
      <c r="X22" s="165"/>
      <c r="Y22" s="166"/>
    </row>
    <row r="23" spans="7:24" ht="15">
      <c r="G23" s="167"/>
      <c r="N23" s="36"/>
      <c r="S23" s="168"/>
      <c r="X23" s="169"/>
    </row>
  </sheetData>
  <sheetProtection/>
  <mergeCells count="23">
    <mergeCell ref="X5:X6"/>
    <mergeCell ref="M4:R4"/>
    <mergeCell ref="Z4:Z6"/>
    <mergeCell ref="H5:K5"/>
    <mergeCell ref="L5:L6"/>
    <mergeCell ref="M5:M6"/>
    <mergeCell ref="A1:Z1"/>
    <mergeCell ref="A2:Z2"/>
    <mergeCell ref="A3:Z3"/>
    <mergeCell ref="A4:A6"/>
    <mergeCell ref="B4:B6"/>
    <mergeCell ref="C4:F4"/>
    <mergeCell ref="G4:L4"/>
    <mergeCell ref="S4:X4"/>
    <mergeCell ref="Y4:Y6"/>
    <mergeCell ref="T5:W5"/>
    <mergeCell ref="A20:B20"/>
    <mergeCell ref="N5:Q5"/>
    <mergeCell ref="R5:R6"/>
    <mergeCell ref="S5:S6"/>
    <mergeCell ref="C5:C6"/>
    <mergeCell ref="D5:F5"/>
    <mergeCell ref="G5:G6"/>
  </mergeCells>
  <printOptions/>
  <pageMargins left="0.21" right="0.2" top="0.66" bottom="0.31" header="0.34" footer="0.2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39"/>
  <sheetViews>
    <sheetView zoomScale="70" zoomScaleNormal="70" zoomScalePageLayoutView="0" workbookViewId="0" topLeftCell="A10">
      <selection activeCell="M5" sqref="M5:M6"/>
    </sheetView>
  </sheetViews>
  <sheetFormatPr defaultColWidth="9.00390625" defaultRowHeight="14.25"/>
  <cols>
    <col min="1" max="1" width="3.625" style="26" customWidth="1"/>
    <col min="2" max="2" width="16.25390625" style="26" customWidth="1"/>
    <col min="3" max="3" width="6.75390625" style="163" customWidth="1"/>
    <col min="4" max="4" width="6.25390625" style="26" customWidth="1"/>
    <col min="5" max="5" width="6.50390625" style="26" customWidth="1"/>
    <col min="6" max="6" width="7.50390625" style="26" customWidth="1"/>
    <col min="7" max="7" width="7.375" style="26" customWidth="1"/>
    <col min="8" max="8" width="9.375" style="26" customWidth="1"/>
    <col min="9" max="9" width="7.75390625" style="163" customWidth="1"/>
    <col min="10" max="10" width="6.75390625" style="26" customWidth="1"/>
    <col min="11" max="11" width="6.00390625" style="26" customWidth="1"/>
    <col min="12" max="12" width="6.75390625" style="26" customWidth="1"/>
    <col min="13" max="13" width="7.75390625" style="26" customWidth="1"/>
    <col min="14" max="14" width="7.00390625" style="26" customWidth="1"/>
    <col min="15" max="15" width="5.75390625" style="163" customWidth="1"/>
    <col min="16" max="16" width="6.00390625" style="26" customWidth="1"/>
    <col min="17" max="17" width="5.75390625" style="26" customWidth="1"/>
    <col min="18" max="18" width="6.75390625" style="26" customWidth="1"/>
    <col min="19" max="19" width="7.25390625" style="26" customWidth="1"/>
    <col min="20" max="20" width="8.00390625" style="26" customWidth="1"/>
    <col min="21" max="21" width="7.375" style="26" customWidth="1"/>
    <col min="22" max="22" width="6.25390625" style="26" customWidth="1"/>
    <col min="23" max="23" width="10.625" style="26" hidden="1" customWidth="1"/>
    <col min="24" max="24" width="20.875" style="26" hidden="1" customWidth="1"/>
    <col min="25" max="27" width="0" style="26" hidden="1" customWidth="1"/>
    <col min="28" max="16384" width="9.00390625" style="26" customWidth="1"/>
  </cols>
  <sheetData>
    <row r="1" spans="1:24" ht="30" customHeight="1">
      <c r="A1" s="856" t="s">
        <v>52</v>
      </c>
      <c r="B1" s="856"/>
      <c r="C1" s="856"/>
      <c r="D1" s="856"/>
      <c r="E1" s="856"/>
      <c r="F1" s="856"/>
      <c r="G1" s="856"/>
      <c r="H1" s="856"/>
      <c r="I1" s="856"/>
      <c r="J1" s="856"/>
      <c r="K1" s="856"/>
      <c r="L1" s="856"/>
      <c r="M1" s="856"/>
      <c r="N1" s="856"/>
      <c r="O1" s="856"/>
      <c r="P1" s="856"/>
      <c r="Q1" s="856"/>
      <c r="R1" s="856"/>
      <c r="S1" s="856"/>
      <c r="T1" s="856"/>
      <c r="U1" s="856"/>
      <c r="V1" s="856"/>
      <c r="W1" s="146"/>
      <c r="X1" s="146"/>
    </row>
    <row r="2" spans="1:24" s="148" customFormat="1" ht="22.5" customHeight="1">
      <c r="A2" s="857" t="s">
        <v>305</v>
      </c>
      <c r="B2" s="857"/>
      <c r="C2" s="857"/>
      <c r="D2" s="857"/>
      <c r="E2" s="857"/>
      <c r="F2" s="857"/>
      <c r="G2" s="857"/>
      <c r="H2" s="857"/>
      <c r="I2" s="857"/>
      <c r="J2" s="857"/>
      <c r="K2" s="857"/>
      <c r="L2" s="857"/>
      <c r="M2" s="857"/>
      <c r="N2" s="857"/>
      <c r="O2" s="857"/>
      <c r="P2" s="857"/>
      <c r="Q2" s="857"/>
      <c r="R2" s="857"/>
      <c r="S2" s="857"/>
      <c r="T2" s="857"/>
      <c r="U2" s="857"/>
      <c r="V2" s="857"/>
      <c r="W2" s="147"/>
      <c r="X2" s="147"/>
    </row>
    <row r="3" spans="1:24" s="148" customFormat="1" ht="22.5" customHeight="1">
      <c r="A3" s="858"/>
      <c r="B3" s="858"/>
      <c r="C3" s="858"/>
      <c r="D3" s="858"/>
      <c r="E3" s="858"/>
      <c r="F3" s="858"/>
      <c r="G3" s="858"/>
      <c r="H3" s="858"/>
      <c r="I3" s="858"/>
      <c r="J3" s="858"/>
      <c r="K3" s="858"/>
      <c r="L3" s="858"/>
      <c r="M3" s="858"/>
      <c r="N3" s="858"/>
      <c r="O3" s="858"/>
      <c r="P3" s="858"/>
      <c r="Q3" s="858"/>
      <c r="R3" s="858"/>
      <c r="S3" s="858"/>
      <c r="T3" s="858"/>
      <c r="U3" s="858"/>
      <c r="V3" s="858"/>
      <c r="W3" s="147"/>
      <c r="X3" s="147"/>
    </row>
    <row r="4" spans="1:23" s="151" customFormat="1" ht="73.5" customHeight="1">
      <c r="A4" s="923" t="s">
        <v>0</v>
      </c>
      <c r="B4" s="861" t="s">
        <v>160</v>
      </c>
      <c r="C4" s="916" t="s">
        <v>26</v>
      </c>
      <c r="D4" s="917"/>
      <c r="E4" s="917"/>
      <c r="F4" s="917"/>
      <c r="G4" s="917"/>
      <c r="H4" s="918"/>
      <c r="I4" s="916" t="s">
        <v>44</v>
      </c>
      <c r="J4" s="917"/>
      <c r="K4" s="917"/>
      <c r="L4" s="917"/>
      <c r="M4" s="917"/>
      <c r="N4" s="918"/>
      <c r="O4" s="919" t="s">
        <v>45</v>
      </c>
      <c r="P4" s="920"/>
      <c r="Q4" s="920"/>
      <c r="R4" s="920"/>
      <c r="S4" s="920"/>
      <c r="T4" s="921"/>
      <c r="U4" s="922" t="s">
        <v>43</v>
      </c>
      <c r="V4" s="923" t="s">
        <v>14</v>
      </c>
      <c r="W4" s="150"/>
    </row>
    <row r="5" spans="1:24" s="151" customFormat="1" ht="39" customHeight="1">
      <c r="A5" s="923"/>
      <c r="B5" s="861"/>
      <c r="C5" s="860" t="s">
        <v>38</v>
      </c>
      <c r="D5" s="869" t="s">
        <v>21</v>
      </c>
      <c r="E5" s="869"/>
      <c r="F5" s="869"/>
      <c r="G5" s="869"/>
      <c r="H5" s="854" t="s">
        <v>202</v>
      </c>
      <c r="I5" s="860" t="s">
        <v>38</v>
      </c>
      <c r="J5" s="851" t="s">
        <v>21</v>
      </c>
      <c r="K5" s="852"/>
      <c r="L5" s="852"/>
      <c r="M5" s="853"/>
      <c r="N5" s="854" t="s">
        <v>37</v>
      </c>
      <c r="O5" s="860" t="s">
        <v>38</v>
      </c>
      <c r="P5" s="851" t="s">
        <v>21</v>
      </c>
      <c r="Q5" s="852"/>
      <c r="R5" s="852"/>
      <c r="S5" s="853"/>
      <c r="T5" s="854" t="s">
        <v>37</v>
      </c>
      <c r="U5" s="922"/>
      <c r="V5" s="923"/>
      <c r="W5" s="152"/>
      <c r="X5" s="153"/>
    </row>
    <row r="6" spans="1:24" s="151" customFormat="1" ht="73.5" customHeight="1">
      <c r="A6" s="923"/>
      <c r="B6" s="861"/>
      <c r="C6" s="860"/>
      <c r="D6" s="149" t="s">
        <v>39</v>
      </c>
      <c r="E6" s="149" t="s">
        <v>40</v>
      </c>
      <c r="F6" s="149" t="s">
        <v>41</v>
      </c>
      <c r="G6" s="149" t="s">
        <v>42</v>
      </c>
      <c r="H6" s="855"/>
      <c r="I6" s="860"/>
      <c r="J6" s="149" t="s">
        <v>39</v>
      </c>
      <c r="K6" s="149" t="s">
        <v>40</v>
      </c>
      <c r="L6" s="149" t="s">
        <v>41</v>
      </c>
      <c r="M6" s="149" t="s">
        <v>42</v>
      </c>
      <c r="N6" s="855"/>
      <c r="O6" s="860"/>
      <c r="P6" s="149" t="s">
        <v>39</v>
      </c>
      <c r="Q6" s="149" t="s">
        <v>40</v>
      </c>
      <c r="R6" s="149" t="s">
        <v>41</v>
      </c>
      <c r="S6" s="149" t="s">
        <v>42</v>
      </c>
      <c r="T6" s="855"/>
      <c r="U6" s="922"/>
      <c r="V6" s="923"/>
      <c r="W6" s="155" t="s">
        <v>28</v>
      </c>
      <c r="X6" s="153"/>
    </row>
    <row r="7" spans="1:23" s="68" customFormat="1" ht="24" customHeight="1">
      <c r="A7" s="222">
        <v>1</v>
      </c>
      <c r="B7" s="223" t="s">
        <v>56</v>
      </c>
      <c r="C7" s="224">
        <v>4.452999999999999</v>
      </c>
      <c r="D7" s="218">
        <v>3.953</v>
      </c>
      <c r="E7" s="218"/>
      <c r="F7" s="218">
        <v>0.5</v>
      </c>
      <c r="G7" s="218"/>
      <c r="H7" s="219">
        <v>968.3604</v>
      </c>
      <c r="I7" s="224">
        <v>1.53</v>
      </c>
      <c r="J7" s="236">
        <v>1.53</v>
      </c>
      <c r="K7" s="237"/>
      <c r="L7" s="237"/>
      <c r="M7" s="237"/>
      <c r="N7" s="238">
        <v>347.004</v>
      </c>
      <c r="O7" s="250">
        <v>2.655</v>
      </c>
      <c r="P7" s="256">
        <v>2.155</v>
      </c>
      <c r="Q7" s="256"/>
      <c r="R7" s="256">
        <v>0.5</v>
      </c>
      <c r="S7" s="256"/>
      <c r="T7" s="257">
        <v>543</v>
      </c>
      <c r="U7" s="132">
        <f>+O7/C7</f>
        <v>0.5962272625196497</v>
      </c>
      <c r="V7" s="70"/>
      <c r="W7" s="71" t="s">
        <v>27</v>
      </c>
    </row>
    <row r="8" spans="1:27" s="68" customFormat="1" ht="24" customHeight="1">
      <c r="A8" s="225">
        <v>2</v>
      </c>
      <c r="B8" s="226" t="s">
        <v>57</v>
      </c>
      <c r="C8" s="227">
        <v>2.85</v>
      </c>
      <c r="D8" s="220">
        <v>1.87</v>
      </c>
      <c r="E8" s="220">
        <v>0.98</v>
      </c>
      <c r="F8" s="220"/>
      <c r="G8" s="220"/>
      <c r="H8" s="221">
        <v>564.9582</v>
      </c>
      <c r="I8" s="227">
        <v>0.288</v>
      </c>
      <c r="J8" s="239">
        <v>0.25</v>
      </c>
      <c r="K8" s="240">
        <v>0.038</v>
      </c>
      <c r="L8" s="241"/>
      <c r="M8" s="241"/>
      <c r="N8" s="242">
        <v>62.233320000000006</v>
      </c>
      <c r="O8" s="252">
        <v>0.87</v>
      </c>
      <c r="P8" s="241">
        <v>0.29</v>
      </c>
      <c r="Q8" s="241">
        <v>0.58</v>
      </c>
      <c r="R8" s="241"/>
      <c r="S8" s="241"/>
      <c r="T8" s="251">
        <v>148.712</v>
      </c>
      <c r="U8" s="202">
        <f aca="true" t="shared" si="0" ref="U8:U34">+O8/C8</f>
        <v>0.30526315789473685</v>
      </c>
      <c r="V8" s="67"/>
      <c r="W8" s="68" t="s">
        <v>33</v>
      </c>
      <c r="X8" s="68" t="s">
        <v>30</v>
      </c>
      <c r="Y8" s="68">
        <v>24.6</v>
      </c>
      <c r="Z8" s="68">
        <v>33.8</v>
      </c>
      <c r="AA8" s="68">
        <v>7.6</v>
      </c>
    </row>
    <row r="9" spans="1:25" s="68" customFormat="1" ht="18" customHeight="1">
      <c r="A9" s="225">
        <v>3</v>
      </c>
      <c r="B9" s="226" t="s">
        <v>58</v>
      </c>
      <c r="C9" s="227">
        <v>1.9</v>
      </c>
      <c r="D9" s="220"/>
      <c r="E9" s="220">
        <v>1.9</v>
      </c>
      <c r="F9" s="220"/>
      <c r="G9" s="220"/>
      <c r="H9" s="221">
        <v>272.951</v>
      </c>
      <c r="I9" s="227">
        <v>0.8</v>
      </c>
      <c r="J9" s="241"/>
      <c r="K9" s="241">
        <v>0.8</v>
      </c>
      <c r="L9" s="241"/>
      <c r="M9" s="241"/>
      <c r="N9" s="242">
        <v>114.94700000000002</v>
      </c>
      <c r="O9" s="252">
        <v>0.9</v>
      </c>
      <c r="P9" s="241">
        <v>0.9</v>
      </c>
      <c r="Q9" s="241"/>
      <c r="R9" s="241"/>
      <c r="S9" s="241"/>
      <c r="T9" s="251">
        <v>120</v>
      </c>
      <c r="U9" s="202">
        <f t="shared" si="0"/>
        <v>0.4736842105263158</v>
      </c>
      <c r="V9" s="67"/>
      <c r="W9" s="68" t="s">
        <v>31</v>
      </c>
      <c r="Y9" s="77">
        <f>+C8-66</f>
        <v>-63.15</v>
      </c>
    </row>
    <row r="10" spans="1:23" ht="23.25" customHeight="1">
      <c r="A10" s="225">
        <v>4</v>
      </c>
      <c r="B10" s="226" t="s">
        <v>53</v>
      </c>
      <c r="C10" s="227">
        <v>2.2569999999999997</v>
      </c>
      <c r="D10" s="220">
        <v>0.11</v>
      </c>
      <c r="E10" s="220">
        <v>2.147</v>
      </c>
      <c r="F10" s="220"/>
      <c r="G10" s="220"/>
      <c r="H10" s="221">
        <v>333.34308</v>
      </c>
      <c r="I10" s="227"/>
      <c r="J10" s="241"/>
      <c r="K10" s="241"/>
      <c r="L10" s="241"/>
      <c r="M10" s="241"/>
      <c r="N10" s="242">
        <v>0</v>
      </c>
      <c r="O10" s="252">
        <v>1.7</v>
      </c>
      <c r="P10" s="241"/>
      <c r="Q10" s="241">
        <v>1.7</v>
      </c>
      <c r="R10" s="241"/>
      <c r="S10" s="241"/>
      <c r="T10" s="251">
        <v>96</v>
      </c>
      <c r="U10" s="202">
        <f t="shared" si="0"/>
        <v>0.7532122286220648</v>
      </c>
      <c r="V10" s="41"/>
      <c r="W10" s="26" t="s">
        <v>29</v>
      </c>
    </row>
    <row r="11" spans="1:23" ht="24.75" customHeight="1">
      <c r="A11" s="225">
        <v>5</v>
      </c>
      <c r="B11" s="226" t="s">
        <v>59</v>
      </c>
      <c r="C11" s="227">
        <v>0.604</v>
      </c>
      <c r="D11" s="220"/>
      <c r="E11" s="220">
        <v>0.604</v>
      </c>
      <c r="F11" s="220"/>
      <c r="G11" s="220"/>
      <c r="H11" s="221">
        <v>86.75856</v>
      </c>
      <c r="I11" s="227"/>
      <c r="J11" s="241"/>
      <c r="K11" s="241"/>
      <c r="L11" s="241"/>
      <c r="M11" s="241"/>
      <c r="N11" s="242">
        <v>0</v>
      </c>
      <c r="O11" s="252">
        <v>0</v>
      </c>
      <c r="P11" s="241"/>
      <c r="Q11" s="241"/>
      <c r="R11" s="241"/>
      <c r="S11" s="241"/>
      <c r="T11" s="251"/>
      <c r="U11" s="202">
        <f t="shared" si="0"/>
        <v>0</v>
      </c>
      <c r="V11" s="41"/>
      <c r="W11" s="26" t="s">
        <v>31</v>
      </c>
    </row>
    <row r="12" spans="1:22" ht="21.75" customHeight="1">
      <c r="A12" s="225">
        <v>6</v>
      </c>
      <c r="B12" s="226" t="s">
        <v>54</v>
      </c>
      <c r="C12" s="227">
        <v>1</v>
      </c>
      <c r="D12" s="220"/>
      <c r="E12" s="220"/>
      <c r="F12" s="220">
        <v>1</v>
      </c>
      <c r="G12" s="220"/>
      <c r="H12" s="221">
        <v>143.64</v>
      </c>
      <c r="I12" s="227"/>
      <c r="J12" s="241"/>
      <c r="K12" s="241"/>
      <c r="L12" s="241"/>
      <c r="M12" s="241"/>
      <c r="N12" s="242">
        <v>0</v>
      </c>
      <c r="O12" s="252">
        <v>0</v>
      </c>
      <c r="P12" s="241"/>
      <c r="Q12" s="241"/>
      <c r="R12" s="241"/>
      <c r="S12" s="241"/>
      <c r="T12" s="251">
        <v>33</v>
      </c>
      <c r="U12" s="202">
        <f t="shared" si="0"/>
        <v>0</v>
      </c>
      <c r="V12" s="41"/>
    </row>
    <row r="13" spans="1:22" s="68" customFormat="1" ht="21.75" customHeight="1">
      <c r="A13" s="225">
        <v>7</v>
      </c>
      <c r="B13" s="226" t="s">
        <v>60</v>
      </c>
      <c r="C13" s="227">
        <v>1.802</v>
      </c>
      <c r="D13" s="220">
        <v>1.381</v>
      </c>
      <c r="E13" s="220">
        <v>0.421</v>
      </c>
      <c r="F13" s="220"/>
      <c r="G13" s="220"/>
      <c r="H13" s="221">
        <v>373.72324</v>
      </c>
      <c r="I13" s="227">
        <v>0.6</v>
      </c>
      <c r="J13" s="241"/>
      <c r="K13" s="241">
        <v>0.6</v>
      </c>
      <c r="L13" s="241"/>
      <c r="M13" s="241"/>
      <c r="N13" s="242">
        <v>86.23400000000001</v>
      </c>
      <c r="O13" s="252">
        <v>0.6</v>
      </c>
      <c r="P13" s="241"/>
      <c r="Q13" s="241">
        <v>0.6</v>
      </c>
      <c r="R13" s="241"/>
      <c r="S13" s="241"/>
      <c r="T13" s="251"/>
      <c r="U13" s="202">
        <f t="shared" si="0"/>
        <v>0.3329633740288568</v>
      </c>
      <c r="V13" s="67"/>
    </row>
    <row r="14" spans="1:22" ht="21.75" customHeight="1">
      <c r="A14" s="225">
        <v>8</v>
      </c>
      <c r="B14" s="226" t="s">
        <v>164</v>
      </c>
      <c r="C14" s="227">
        <v>1.24</v>
      </c>
      <c r="D14" s="220">
        <v>0.51</v>
      </c>
      <c r="E14" s="220">
        <v>0.15</v>
      </c>
      <c r="F14" s="220">
        <v>0.58</v>
      </c>
      <c r="G14" s="220"/>
      <c r="H14" s="221">
        <v>220.45520000000005</v>
      </c>
      <c r="I14" s="227"/>
      <c r="J14" s="243"/>
      <c r="K14" s="243"/>
      <c r="L14" s="243"/>
      <c r="M14" s="243"/>
      <c r="N14" s="242">
        <v>-0.07</v>
      </c>
      <c r="O14" s="252">
        <v>0.32</v>
      </c>
      <c r="P14" s="241">
        <v>0.32</v>
      </c>
      <c r="Q14" s="241"/>
      <c r="R14" s="241"/>
      <c r="S14" s="241"/>
      <c r="T14" s="251">
        <v>97</v>
      </c>
      <c r="U14" s="202">
        <f t="shared" si="0"/>
        <v>0.25806451612903225</v>
      </c>
      <c r="V14" s="41"/>
    </row>
    <row r="15" spans="1:22" s="68" customFormat="1" ht="21.75" customHeight="1">
      <c r="A15" s="225">
        <v>9</v>
      </c>
      <c r="B15" s="226" t="s">
        <v>61</v>
      </c>
      <c r="C15" s="227">
        <v>0.3</v>
      </c>
      <c r="D15" s="220"/>
      <c r="E15" s="220">
        <v>0.3</v>
      </c>
      <c r="F15" s="220"/>
      <c r="G15" s="220"/>
      <c r="H15" s="221">
        <v>43.047000000000004</v>
      </c>
      <c r="I15" s="227"/>
      <c r="J15" s="243"/>
      <c r="K15" s="243"/>
      <c r="L15" s="243"/>
      <c r="M15" s="243"/>
      <c r="N15" s="242">
        <v>-0.045</v>
      </c>
      <c r="O15" s="252">
        <v>0</v>
      </c>
      <c r="P15" s="241"/>
      <c r="Q15" s="241"/>
      <c r="R15" s="241"/>
      <c r="S15" s="241"/>
      <c r="T15" s="251"/>
      <c r="U15" s="202">
        <f t="shared" si="0"/>
        <v>0</v>
      </c>
      <c r="V15" s="67"/>
    </row>
    <row r="16" spans="1:22" s="68" customFormat="1" ht="21.75" customHeight="1">
      <c r="A16" s="228">
        <v>10</v>
      </c>
      <c r="B16" s="229" t="s">
        <v>165</v>
      </c>
      <c r="C16" s="227">
        <v>3.655</v>
      </c>
      <c r="D16" s="220">
        <v>0.539</v>
      </c>
      <c r="E16" s="220">
        <v>3.116</v>
      </c>
      <c r="F16" s="220"/>
      <c r="G16" s="220"/>
      <c r="H16" s="221">
        <v>569.82744</v>
      </c>
      <c r="I16" s="227"/>
      <c r="J16" s="244"/>
      <c r="K16" s="244"/>
      <c r="L16" s="244"/>
      <c r="M16" s="243"/>
      <c r="N16" s="242">
        <v>0</v>
      </c>
      <c r="O16" s="252">
        <v>0</v>
      </c>
      <c r="P16" s="241"/>
      <c r="Q16" s="241"/>
      <c r="R16" s="241"/>
      <c r="S16" s="241"/>
      <c r="T16" s="251"/>
      <c r="U16" s="202">
        <f t="shared" si="0"/>
        <v>0</v>
      </c>
      <c r="V16" s="67"/>
    </row>
    <row r="17" spans="1:22" s="68" customFormat="1" ht="21.75" customHeight="1">
      <c r="A17" s="225">
        <v>11</v>
      </c>
      <c r="B17" s="226" t="s">
        <v>62</v>
      </c>
      <c r="C17" s="227">
        <v>0</v>
      </c>
      <c r="D17" s="220">
        <v>0</v>
      </c>
      <c r="E17" s="220">
        <v>0</v>
      </c>
      <c r="F17" s="220">
        <v>0</v>
      </c>
      <c r="G17" s="220"/>
      <c r="H17" s="221">
        <v>0</v>
      </c>
      <c r="I17" s="227"/>
      <c r="J17" s="244"/>
      <c r="K17" s="244"/>
      <c r="L17" s="243"/>
      <c r="M17" s="243"/>
      <c r="N17" s="242">
        <v>0</v>
      </c>
      <c r="O17" s="252">
        <v>0</v>
      </c>
      <c r="P17" s="241"/>
      <c r="Q17" s="241"/>
      <c r="R17" s="241"/>
      <c r="S17" s="241"/>
      <c r="T17" s="251">
        <v>0</v>
      </c>
      <c r="U17" s="202"/>
      <c r="V17" s="67"/>
    </row>
    <row r="18" spans="1:22" s="68" customFormat="1" ht="21.75" customHeight="1">
      <c r="A18" s="225">
        <v>11</v>
      </c>
      <c r="B18" s="226" t="s">
        <v>55</v>
      </c>
      <c r="C18" s="227">
        <v>1.683</v>
      </c>
      <c r="D18" s="220"/>
      <c r="E18" s="220">
        <v>1.683</v>
      </c>
      <c r="F18" s="220"/>
      <c r="G18" s="220"/>
      <c r="H18" s="221">
        <v>241.74612000000002</v>
      </c>
      <c r="I18" s="227"/>
      <c r="J18" s="243"/>
      <c r="K18" s="243"/>
      <c r="L18" s="243"/>
      <c r="M18" s="243"/>
      <c r="N18" s="242">
        <v>0</v>
      </c>
      <c r="O18" s="252">
        <v>0</v>
      </c>
      <c r="P18" s="241"/>
      <c r="Q18" s="241"/>
      <c r="R18" s="241"/>
      <c r="S18" s="241"/>
      <c r="T18" s="251"/>
      <c r="U18" s="202">
        <f t="shared" si="0"/>
        <v>0</v>
      </c>
      <c r="V18" s="67"/>
    </row>
    <row r="19" spans="1:22" s="68" customFormat="1" ht="21.75" customHeight="1">
      <c r="A19" s="228">
        <v>12</v>
      </c>
      <c r="B19" s="229" t="s">
        <v>63</v>
      </c>
      <c r="C19" s="227">
        <v>1.99</v>
      </c>
      <c r="D19" s="220">
        <v>1.29</v>
      </c>
      <c r="E19" s="220">
        <v>0.7</v>
      </c>
      <c r="F19" s="220"/>
      <c r="G19" s="220"/>
      <c r="H19" s="221">
        <v>393.12</v>
      </c>
      <c r="I19" s="227"/>
      <c r="J19" s="244"/>
      <c r="K19" s="244"/>
      <c r="L19" s="244"/>
      <c r="M19" s="244"/>
      <c r="N19" s="242">
        <v>0</v>
      </c>
      <c r="O19" s="252">
        <v>0.645</v>
      </c>
      <c r="P19" s="241"/>
      <c r="Q19" s="241">
        <v>0.645</v>
      </c>
      <c r="R19" s="241"/>
      <c r="S19" s="241"/>
      <c r="T19" s="251">
        <v>85</v>
      </c>
      <c r="U19" s="202">
        <f t="shared" si="0"/>
        <v>0.3241206030150754</v>
      </c>
      <c r="V19" s="67"/>
    </row>
    <row r="20" spans="1:22" s="68" customFormat="1" ht="21.75" customHeight="1">
      <c r="A20" s="228">
        <v>13</v>
      </c>
      <c r="B20" s="229" t="s">
        <v>64</v>
      </c>
      <c r="C20" s="227">
        <v>1.035</v>
      </c>
      <c r="D20" s="220"/>
      <c r="E20" s="220">
        <v>1.035</v>
      </c>
      <c r="F20" s="220"/>
      <c r="G20" s="220"/>
      <c r="H20" s="221">
        <v>148.66740000000001</v>
      </c>
      <c r="I20" s="227">
        <v>0.55</v>
      </c>
      <c r="J20" s="244"/>
      <c r="K20" s="244">
        <v>0.55</v>
      </c>
      <c r="L20" s="245"/>
      <c r="M20" s="244"/>
      <c r="N20" s="242">
        <v>124</v>
      </c>
      <c r="O20" s="252">
        <v>0.554</v>
      </c>
      <c r="P20" s="241"/>
      <c r="Q20" s="241">
        <v>0.554</v>
      </c>
      <c r="R20" s="241"/>
      <c r="S20" s="241"/>
      <c r="T20" s="251">
        <v>124</v>
      </c>
      <c r="U20" s="202">
        <f t="shared" si="0"/>
        <v>0.5352657004830919</v>
      </c>
      <c r="V20" s="67"/>
    </row>
    <row r="21" spans="1:22" s="68" customFormat="1" ht="21.75" customHeight="1">
      <c r="A21" s="228">
        <v>14</v>
      </c>
      <c r="B21" s="229" t="s">
        <v>166</v>
      </c>
      <c r="C21" s="227">
        <v>0.4</v>
      </c>
      <c r="D21" s="220">
        <v>0.3</v>
      </c>
      <c r="E21" s="220">
        <v>0.1</v>
      </c>
      <c r="F21" s="220"/>
      <c r="G21" s="220"/>
      <c r="H21" s="221">
        <v>82.40400000000001</v>
      </c>
      <c r="I21" s="227"/>
      <c r="J21" s="244"/>
      <c r="K21" s="244"/>
      <c r="L21" s="244"/>
      <c r="M21" s="244"/>
      <c r="N21" s="242">
        <v>0</v>
      </c>
      <c r="O21" s="252">
        <v>0</v>
      </c>
      <c r="P21" s="241"/>
      <c r="Q21" s="241"/>
      <c r="R21" s="241"/>
      <c r="S21" s="241"/>
      <c r="T21" s="251"/>
      <c r="U21" s="202">
        <f t="shared" si="0"/>
        <v>0</v>
      </c>
      <c r="V21" s="67"/>
    </row>
    <row r="22" spans="1:22" s="68" customFormat="1" ht="21.75" customHeight="1">
      <c r="A22" s="228">
        <v>15</v>
      </c>
      <c r="B22" s="229" t="s">
        <v>167</v>
      </c>
      <c r="C22" s="227">
        <v>1</v>
      </c>
      <c r="D22" s="220"/>
      <c r="E22" s="220">
        <v>1</v>
      </c>
      <c r="F22" s="220"/>
      <c r="G22" s="220"/>
      <c r="H22" s="221">
        <v>143.66</v>
      </c>
      <c r="I22" s="227"/>
      <c r="J22" s="244"/>
      <c r="K22" s="244"/>
      <c r="L22" s="244"/>
      <c r="M22" s="244"/>
      <c r="N22" s="242">
        <v>0.02</v>
      </c>
      <c r="O22" s="252">
        <v>0</v>
      </c>
      <c r="P22" s="241"/>
      <c r="Q22" s="241"/>
      <c r="R22" s="241"/>
      <c r="S22" s="241"/>
      <c r="T22" s="251"/>
      <c r="U22" s="202">
        <f t="shared" si="0"/>
        <v>0</v>
      </c>
      <c r="V22" s="67"/>
    </row>
    <row r="23" spans="1:22" s="68" customFormat="1" ht="21.75" customHeight="1">
      <c r="A23" s="228">
        <v>16</v>
      </c>
      <c r="B23" s="229" t="s">
        <v>168</v>
      </c>
      <c r="C23" s="227">
        <v>1</v>
      </c>
      <c r="D23" s="220"/>
      <c r="E23" s="220">
        <v>1</v>
      </c>
      <c r="F23" s="220"/>
      <c r="G23" s="220"/>
      <c r="H23" s="221">
        <v>143.66</v>
      </c>
      <c r="I23" s="227"/>
      <c r="J23" s="244"/>
      <c r="K23" s="244"/>
      <c r="L23" s="244"/>
      <c r="M23" s="244"/>
      <c r="N23" s="242">
        <v>0.02</v>
      </c>
      <c r="O23" s="252">
        <v>0</v>
      </c>
      <c r="P23" s="241"/>
      <c r="Q23" s="241"/>
      <c r="R23" s="241"/>
      <c r="S23" s="241"/>
      <c r="T23" s="251"/>
      <c r="U23" s="202">
        <f t="shared" si="0"/>
        <v>0</v>
      </c>
      <c r="V23" s="67"/>
    </row>
    <row r="24" spans="1:22" s="68" customFormat="1" ht="21.75" customHeight="1">
      <c r="A24" s="228">
        <v>17</v>
      </c>
      <c r="B24" s="229" t="s">
        <v>169</v>
      </c>
      <c r="C24" s="227">
        <v>1.809</v>
      </c>
      <c r="D24" s="220">
        <v>1.649</v>
      </c>
      <c r="E24" s="220">
        <v>0.16</v>
      </c>
      <c r="F24" s="220"/>
      <c r="G24" s="220"/>
      <c r="H24" s="221">
        <v>396.9756</v>
      </c>
      <c r="I24" s="227">
        <v>0.2</v>
      </c>
      <c r="J24" s="244">
        <v>0.2</v>
      </c>
      <c r="K24" s="244"/>
      <c r="L24" s="244"/>
      <c r="M24" s="244"/>
      <c r="N24" s="242">
        <v>48</v>
      </c>
      <c r="O24" s="252">
        <v>0.195</v>
      </c>
      <c r="P24" s="241">
        <v>0.195</v>
      </c>
      <c r="Q24" s="241"/>
      <c r="R24" s="241"/>
      <c r="S24" s="241"/>
      <c r="T24" s="251">
        <v>48</v>
      </c>
      <c r="U24" s="202">
        <f t="shared" si="0"/>
        <v>0.10779436152570482</v>
      </c>
      <c r="V24" s="67"/>
    </row>
    <row r="25" spans="1:22" s="68" customFormat="1" ht="21.75" customHeight="1">
      <c r="A25" s="228">
        <v>18</v>
      </c>
      <c r="B25" s="229" t="s">
        <v>170</v>
      </c>
      <c r="C25" s="227">
        <v>3</v>
      </c>
      <c r="D25" s="220">
        <v>2</v>
      </c>
      <c r="E25" s="220">
        <v>1</v>
      </c>
      <c r="F25" s="220"/>
      <c r="G25" s="220"/>
      <c r="H25" s="221">
        <v>597.24</v>
      </c>
      <c r="I25" s="227">
        <v>0.18</v>
      </c>
      <c r="J25" s="244">
        <v>0.18</v>
      </c>
      <c r="K25" s="244"/>
      <c r="L25" s="244"/>
      <c r="M25" s="244"/>
      <c r="N25" s="242">
        <v>32</v>
      </c>
      <c r="O25" s="252">
        <v>0.18</v>
      </c>
      <c r="P25" s="241">
        <v>0.18</v>
      </c>
      <c r="Q25" s="241"/>
      <c r="R25" s="241"/>
      <c r="S25" s="241"/>
      <c r="T25" s="251">
        <v>32</v>
      </c>
      <c r="U25" s="202">
        <f t="shared" si="0"/>
        <v>0.06</v>
      </c>
      <c r="V25" s="67"/>
    </row>
    <row r="26" spans="1:22" s="68" customFormat="1" ht="21.75" customHeight="1">
      <c r="A26" s="228">
        <v>19</v>
      </c>
      <c r="B26" s="229" t="s">
        <v>171</v>
      </c>
      <c r="C26" s="227">
        <v>1.32</v>
      </c>
      <c r="D26" s="220"/>
      <c r="E26" s="220">
        <v>1.32</v>
      </c>
      <c r="F26" s="220"/>
      <c r="G26" s="220"/>
      <c r="H26" s="221">
        <v>189.60480000000004</v>
      </c>
      <c r="I26" s="227"/>
      <c r="J26" s="244"/>
      <c r="K26" s="244"/>
      <c r="L26" s="244"/>
      <c r="M26" s="244"/>
      <c r="N26" s="242">
        <v>0</v>
      </c>
      <c r="O26" s="252">
        <v>0.9</v>
      </c>
      <c r="P26" s="241">
        <v>0.7</v>
      </c>
      <c r="Q26" s="241"/>
      <c r="R26" s="241">
        <v>0.2</v>
      </c>
      <c r="S26" s="241"/>
      <c r="T26" s="251"/>
      <c r="U26" s="202">
        <f t="shared" si="0"/>
        <v>0.6818181818181818</v>
      </c>
      <c r="V26" s="67"/>
    </row>
    <row r="27" spans="1:22" s="68" customFormat="1" ht="21.75" customHeight="1">
      <c r="A27" s="228">
        <v>20</v>
      </c>
      <c r="B27" s="229" t="s">
        <v>172</v>
      </c>
      <c r="C27" s="227">
        <v>1.75</v>
      </c>
      <c r="D27" s="220">
        <v>1.1</v>
      </c>
      <c r="E27" s="220">
        <v>0.65</v>
      </c>
      <c r="F27" s="220"/>
      <c r="G27" s="220"/>
      <c r="H27" s="221">
        <v>342.84600000000006</v>
      </c>
      <c r="I27" s="227"/>
      <c r="J27" s="244"/>
      <c r="K27" s="244"/>
      <c r="L27" s="244"/>
      <c r="M27" s="244"/>
      <c r="N27" s="242">
        <v>0</v>
      </c>
      <c r="O27" s="252">
        <v>0.69</v>
      </c>
      <c r="P27" s="241"/>
      <c r="Q27" s="241">
        <v>0.24</v>
      </c>
      <c r="R27" s="241">
        <v>0.45</v>
      </c>
      <c r="S27" s="241"/>
      <c r="T27" s="251">
        <v>140</v>
      </c>
      <c r="U27" s="202">
        <f t="shared" si="0"/>
        <v>0.39428571428571424</v>
      </c>
      <c r="V27" s="67"/>
    </row>
    <row r="28" spans="1:22" s="68" customFormat="1" ht="21.75" customHeight="1">
      <c r="A28" s="228">
        <v>21</v>
      </c>
      <c r="B28" s="229" t="s">
        <v>173</v>
      </c>
      <c r="C28" s="227">
        <v>1.883</v>
      </c>
      <c r="D28" s="220">
        <v>0.973</v>
      </c>
      <c r="E28" s="220">
        <v>0.66</v>
      </c>
      <c r="F28" s="220">
        <v>0.25</v>
      </c>
      <c r="G28" s="220"/>
      <c r="H28" s="221">
        <v>351.4508000000001</v>
      </c>
      <c r="I28" s="227"/>
      <c r="J28" s="246"/>
      <c r="K28" s="246"/>
      <c r="L28" s="246"/>
      <c r="M28" s="246"/>
      <c r="N28" s="242">
        <v>0.062</v>
      </c>
      <c r="O28" s="252">
        <v>0.74</v>
      </c>
      <c r="P28" s="253">
        <v>0.27</v>
      </c>
      <c r="Q28" s="253">
        <v>0.47</v>
      </c>
      <c r="R28" s="254"/>
      <c r="S28" s="254"/>
      <c r="T28" s="251">
        <v>135</v>
      </c>
      <c r="U28" s="202">
        <f t="shared" si="0"/>
        <v>0.39298990971853426</v>
      </c>
      <c r="V28" s="67"/>
    </row>
    <row r="29" spans="1:22" s="68" customFormat="1" ht="21.75" customHeight="1">
      <c r="A29" s="228">
        <v>22</v>
      </c>
      <c r="B29" s="229" t="s">
        <v>174</v>
      </c>
      <c r="C29" s="227">
        <v>1.895</v>
      </c>
      <c r="D29" s="220"/>
      <c r="E29" s="220">
        <v>0.175</v>
      </c>
      <c r="F29" s="220">
        <v>1.72</v>
      </c>
      <c r="G29" s="220"/>
      <c r="H29" s="221">
        <v>272.19780000000003</v>
      </c>
      <c r="I29" s="227"/>
      <c r="J29" s="244"/>
      <c r="K29" s="244"/>
      <c r="L29" s="244"/>
      <c r="M29" s="244"/>
      <c r="N29" s="242">
        <v>0</v>
      </c>
      <c r="O29" s="252">
        <v>0</v>
      </c>
      <c r="P29" s="241"/>
      <c r="Q29" s="241"/>
      <c r="R29" s="241"/>
      <c r="S29" s="241"/>
      <c r="T29" s="251"/>
      <c r="U29" s="202">
        <f t="shared" si="0"/>
        <v>0</v>
      </c>
      <c r="V29" s="67"/>
    </row>
    <row r="30" spans="1:22" s="68" customFormat="1" ht="21.75" customHeight="1">
      <c r="A30" s="230">
        <v>23</v>
      </c>
      <c r="B30" s="231" t="s">
        <v>175</v>
      </c>
      <c r="C30" s="227">
        <v>7.446999999999999</v>
      </c>
      <c r="D30" s="220">
        <v>2.73</v>
      </c>
      <c r="E30" s="220">
        <v>4.367</v>
      </c>
      <c r="F30" s="220">
        <v>0.35</v>
      </c>
      <c r="G30" s="220"/>
      <c r="H30" s="221">
        <v>1296.7088800000001</v>
      </c>
      <c r="I30" s="227"/>
      <c r="J30" s="246"/>
      <c r="K30" s="246"/>
      <c r="L30" s="246"/>
      <c r="M30" s="246"/>
      <c r="N30" s="242">
        <v>-0.005</v>
      </c>
      <c r="O30" s="252">
        <v>2.43</v>
      </c>
      <c r="P30" s="241">
        <v>1.83</v>
      </c>
      <c r="Q30" s="241">
        <v>0.6</v>
      </c>
      <c r="R30" s="241"/>
      <c r="S30" s="241"/>
      <c r="T30" s="251">
        <v>320</v>
      </c>
      <c r="U30" s="202">
        <f t="shared" si="0"/>
        <v>0.3263058949912717</v>
      </c>
      <c r="V30" s="67"/>
    </row>
    <row r="31" spans="1:22" s="68" customFormat="1" ht="21.75" customHeight="1">
      <c r="A31" s="230">
        <v>24</v>
      </c>
      <c r="B31" s="231" t="s">
        <v>176</v>
      </c>
      <c r="C31" s="227">
        <v>1.554</v>
      </c>
      <c r="D31" s="220"/>
      <c r="E31" s="220">
        <v>0.3</v>
      </c>
      <c r="F31" s="220">
        <v>1.254</v>
      </c>
      <c r="G31" s="220"/>
      <c r="H31" s="221">
        <v>223.21656000000004</v>
      </c>
      <c r="I31" s="247">
        <v>0.36</v>
      </c>
      <c r="J31" s="244"/>
      <c r="K31" s="244">
        <v>0.16</v>
      </c>
      <c r="L31" s="244">
        <v>0.2</v>
      </c>
      <c r="M31" s="246"/>
      <c r="N31" s="242">
        <v>60</v>
      </c>
      <c r="O31" s="252">
        <v>0.36</v>
      </c>
      <c r="P31" s="241"/>
      <c r="Q31" s="241">
        <v>0.16</v>
      </c>
      <c r="R31" s="241">
        <v>0.2</v>
      </c>
      <c r="S31" s="241"/>
      <c r="T31" s="251">
        <v>60</v>
      </c>
      <c r="U31" s="202">
        <f t="shared" si="0"/>
        <v>0.23166023166023164</v>
      </c>
      <c r="V31" s="67"/>
    </row>
    <row r="32" spans="1:22" s="68" customFormat="1" ht="21.75" customHeight="1">
      <c r="A32" s="228">
        <v>25</v>
      </c>
      <c r="B32" s="231" t="s">
        <v>177</v>
      </c>
      <c r="C32" s="227">
        <v>3.3320000000000003</v>
      </c>
      <c r="D32" s="220">
        <v>0.601</v>
      </c>
      <c r="E32" s="220">
        <v>1.49</v>
      </c>
      <c r="F32" s="220">
        <v>1.241</v>
      </c>
      <c r="G32" s="220"/>
      <c r="H32" s="221">
        <v>528.5876400000001</v>
      </c>
      <c r="I32" s="227"/>
      <c r="J32" s="244"/>
      <c r="K32" s="244"/>
      <c r="L32" s="244"/>
      <c r="M32" s="244"/>
      <c r="N32" s="242">
        <v>0</v>
      </c>
      <c r="O32" s="252">
        <v>0</v>
      </c>
      <c r="P32" s="241"/>
      <c r="Q32" s="241"/>
      <c r="R32" s="241"/>
      <c r="S32" s="241"/>
      <c r="T32" s="251"/>
      <c r="U32" s="202">
        <f t="shared" si="0"/>
        <v>0</v>
      </c>
      <c r="V32" s="67"/>
    </row>
    <row r="33" spans="1:22" s="68" customFormat="1" ht="21.75" customHeight="1">
      <c r="A33" s="228">
        <v>26</v>
      </c>
      <c r="B33" s="229" t="s">
        <v>178</v>
      </c>
      <c r="C33" s="227">
        <v>3.1</v>
      </c>
      <c r="D33" s="220">
        <v>0.069</v>
      </c>
      <c r="E33" s="220">
        <v>3.031</v>
      </c>
      <c r="F33" s="220"/>
      <c r="G33" s="220"/>
      <c r="H33" s="221">
        <v>451.02204000000006</v>
      </c>
      <c r="I33" s="227"/>
      <c r="J33" s="244"/>
      <c r="K33" s="244"/>
      <c r="L33" s="244"/>
      <c r="M33" s="244"/>
      <c r="N33" s="242">
        <v>0</v>
      </c>
      <c r="O33" s="252">
        <v>2</v>
      </c>
      <c r="P33" s="241"/>
      <c r="Q33" s="241">
        <v>2</v>
      </c>
      <c r="R33" s="241"/>
      <c r="S33" s="241"/>
      <c r="T33" s="251">
        <v>215</v>
      </c>
      <c r="U33" s="202">
        <f t="shared" si="0"/>
        <v>0.6451612903225806</v>
      </c>
      <c r="V33" s="67"/>
    </row>
    <row r="34" spans="1:22" s="68" customFormat="1" ht="21.75" customHeight="1">
      <c r="A34" s="228">
        <v>27</v>
      </c>
      <c r="B34" s="229" t="s">
        <v>179</v>
      </c>
      <c r="C34" s="227">
        <v>4.8</v>
      </c>
      <c r="D34" s="220">
        <v>0.91</v>
      </c>
      <c r="E34" s="220">
        <v>3.64</v>
      </c>
      <c r="F34" s="220">
        <v>0.25</v>
      </c>
      <c r="G34" s="220"/>
      <c r="H34" s="221">
        <v>765.1501000000002</v>
      </c>
      <c r="I34" s="227"/>
      <c r="J34" s="244"/>
      <c r="K34" s="244"/>
      <c r="L34" s="244"/>
      <c r="M34" s="244"/>
      <c r="N34" s="242">
        <v>0.0025</v>
      </c>
      <c r="O34" s="252">
        <v>0</v>
      </c>
      <c r="P34" s="241"/>
      <c r="Q34" s="241"/>
      <c r="R34" s="241"/>
      <c r="S34" s="241"/>
      <c r="T34" s="251"/>
      <c r="U34" s="202">
        <f t="shared" si="0"/>
        <v>0</v>
      </c>
      <c r="V34" s="67"/>
    </row>
    <row r="35" spans="1:22" s="68" customFormat="1" ht="21.75" customHeight="1">
      <c r="A35" s="258">
        <v>28</v>
      </c>
      <c r="B35" s="232" t="s">
        <v>180</v>
      </c>
      <c r="C35" s="233">
        <v>1</v>
      </c>
      <c r="D35" s="234">
        <v>1</v>
      </c>
      <c r="E35" s="234"/>
      <c r="F35" s="234"/>
      <c r="G35" s="234"/>
      <c r="H35" s="235">
        <v>226.8</v>
      </c>
      <c r="I35" s="233"/>
      <c r="J35" s="248"/>
      <c r="K35" s="248"/>
      <c r="L35" s="248"/>
      <c r="M35" s="248"/>
      <c r="N35" s="249">
        <v>0</v>
      </c>
      <c r="O35" s="259">
        <v>0.3</v>
      </c>
      <c r="P35" s="260"/>
      <c r="Q35" s="260">
        <v>0.3</v>
      </c>
      <c r="R35" s="260"/>
      <c r="S35" s="260"/>
      <c r="T35" s="261"/>
      <c r="U35" s="203">
        <f>+O35/C35</f>
        <v>0.3</v>
      </c>
      <c r="V35" s="82"/>
    </row>
    <row r="36" spans="1:22" ht="21.75" customHeight="1">
      <c r="A36" s="914" t="s">
        <v>23</v>
      </c>
      <c r="B36" s="915"/>
      <c r="C36" s="54">
        <f aca="true" t="shared" si="1" ref="C36:T36">+SUM(C7:C35)</f>
        <v>60.059</v>
      </c>
      <c r="D36" s="255">
        <f t="shared" si="1"/>
        <v>20.985000000000003</v>
      </c>
      <c r="E36" s="255">
        <f t="shared" si="1"/>
        <v>31.929</v>
      </c>
      <c r="F36" s="255">
        <f t="shared" si="1"/>
        <v>7.145</v>
      </c>
      <c r="G36" s="255">
        <f t="shared" si="1"/>
        <v>0</v>
      </c>
      <c r="H36" s="255">
        <f t="shared" si="1"/>
        <v>10372.121860000001</v>
      </c>
      <c r="I36" s="54">
        <f t="shared" si="1"/>
        <v>4.508000000000001</v>
      </c>
      <c r="J36" s="54">
        <f t="shared" si="1"/>
        <v>2.16</v>
      </c>
      <c r="K36" s="54">
        <f t="shared" si="1"/>
        <v>2.148</v>
      </c>
      <c r="L36" s="54">
        <f t="shared" si="1"/>
        <v>0.2</v>
      </c>
      <c r="M36" s="255">
        <f t="shared" si="1"/>
        <v>0</v>
      </c>
      <c r="N36" s="255">
        <f t="shared" si="1"/>
        <v>874.4028200000001</v>
      </c>
      <c r="O36" s="54">
        <f t="shared" si="1"/>
        <v>16.038999999999998</v>
      </c>
      <c r="P36" s="54">
        <f t="shared" si="1"/>
        <v>6.84</v>
      </c>
      <c r="Q36" s="54">
        <f t="shared" si="1"/>
        <v>7.848999999999999</v>
      </c>
      <c r="R36" s="54">
        <f t="shared" si="1"/>
        <v>1.3499999999999999</v>
      </c>
      <c r="S36" s="255">
        <f t="shared" si="1"/>
        <v>0</v>
      </c>
      <c r="T36" s="255">
        <f t="shared" si="1"/>
        <v>2196.712</v>
      </c>
      <c r="U36" s="262">
        <f>+O36/C36</f>
        <v>0.26705406350422084</v>
      </c>
      <c r="V36" s="263"/>
    </row>
    <row r="37" spans="2:22" ht="15">
      <c r="B37" s="170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</row>
    <row r="38" spans="2:21" ht="15">
      <c r="B38" s="162"/>
      <c r="N38" s="164"/>
      <c r="Q38" s="36"/>
      <c r="T38" s="165"/>
      <c r="U38" s="166"/>
    </row>
    <row r="39" spans="3:20" ht="15">
      <c r="C39" s="167"/>
      <c r="J39" s="36"/>
      <c r="O39" s="168"/>
      <c r="T39" s="169"/>
    </row>
  </sheetData>
  <sheetProtection/>
  <mergeCells count="20">
    <mergeCell ref="P5:S5"/>
    <mergeCell ref="N5:N6"/>
    <mergeCell ref="O5:O6"/>
    <mergeCell ref="H5:H6"/>
    <mergeCell ref="J5:M5"/>
    <mergeCell ref="A4:A6"/>
    <mergeCell ref="B4:B6"/>
    <mergeCell ref="C5:C6"/>
    <mergeCell ref="I5:I6"/>
    <mergeCell ref="D5:G5"/>
    <mergeCell ref="T5:T6"/>
    <mergeCell ref="A36:B36"/>
    <mergeCell ref="A1:V1"/>
    <mergeCell ref="A2:V2"/>
    <mergeCell ref="A3:V3"/>
    <mergeCell ref="C4:H4"/>
    <mergeCell ref="I4:N4"/>
    <mergeCell ref="O4:T4"/>
    <mergeCell ref="U4:U6"/>
    <mergeCell ref="V4:V6"/>
  </mergeCells>
  <printOptions/>
  <pageMargins left="0.53" right="0.2" top="0.78" bottom="0.48" header="0.5" footer="0.2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Z20"/>
  <sheetViews>
    <sheetView zoomScale="85" zoomScaleNormal="85" zoomScalePageLayoutView="0" workbookViewId="0" topLeftCell="A4">
      <selection activeCell="B23" sqref="B23"/>
    </sheetView>
  </sheetViews>
  <sheetFormatPr defaultColWidth="9.00390625" defaultRowHeight="14.25"/>
  <cols>
    <col min="1" max="1" width="3.625" style="26" customWidth="1"/>
    <col min="2" max="2" width="12.625" style="26" customWidth="1"/>
    <col min="3" max="3" width="0.12890625" style="163" hidden="1" customWidth="1"/>
    <col min="4" max="4" width="7.75390625" style="26" hidden="1" customWidth="1"/>
    <col min="5" max="5" width="7.50390625" style="26" hidden="1" customWidth="1"/>
    <col min="6" max="6" width="9.375" style="26" hidden="1" customWidth="1"/>
    <col min="7" max="7" width="4.875" style="163" customWidth="1"/>
    <col min="8" max="8" width="6.25390625" style="26" customWidth="1"/>
    <col min="9" max="9" width="5.375" style="26" customWidth="1"/>
    <col min="10" max="10" width="6.50390625" style="26" customWidth="1"/>
    <col min="11" max="11" width="6.125" style="26" customWidth="1"/>
    <col min="12" max="12" width="7.00390625" style="26" customWidth="1"/>
    <col min="13" max="13" width="4.875" style="163" customWidth="1"/>
    <col min="14" max="14" width="5.00390625" style="26" customWidth="1"/>
    <col min="15" max="15" width="5.375" style="26" customWidth="1"/>
    <col min="16" max="16" width="5.50390625" style="26" customWidth="1"/>
    <col min="17" max="17" width="5.75390625" style="26" customWidth="1"/>
    <col min="18" max="18" width="5.875" style="26" customWidth="1"/>
    <col min="19" max="19" width="5.75390625" style="163" customWidth="1"/>
    <col min="20" max="20" width="6.00390625" style="26" customWidth="1"/>
    <col min="21" max="21" width="5.125" style="26" customWidth="1"/>
    <col min="22" max="22" width="6.125" style="26" customWidth="1"/>
    <col min="23" max="23" width="5.625" style="26" customWidth="1"/>
    <col min="24" max="24" width="7.25390625" style="26" customWidth="1"/>
    <col min="25" max="25" width="7.375" style="26" customWidth="1"/>
    <col min="26" max="26" width="4.50390625" style="26" customWidth="1"/>
    <col min="27" max="16384" width="9.00390625" style="26" customWidth="1"/>
  </cols>
  <sheetData>
    <row r="1" spans="1:26" ht="30" customHeight="1">
      <c r="A1" s="856" t="s">
        <v>87</v>
      </c>
      <c r="B1" s="856"/>
      <c r="C1" s="856"/>
      <c r="D1" s="856"/>
      <c r="E1" s="856"/>
      <c r="F1" s="856"/>
      <c r="G1" s="856"/>
      <c r="H1" s="856"/>
      <c r="I1" s="856"/>
      <c r="J1" s="856"/>
      <c r="K1" s="856"/>
      <c r="L1" s="856"/>
      <c r="M1" s="856"/>
      <c r="N1" s="856"/>
      <c r="O1" s="856"/>
      <c r="P1" s="856"/>
      <c r="Q1" s="856"/>
      <c r="R1" s="856"/>
      <c r="S1" s="856"/>
      <c r="T1" s="856"/>
      <c r="U1" s="856"/>
      <c r="V1" s="856"/>
      <c r="W1" s="856"/>
      <c r="X1" s="856"/>
      <c r="Y1" s="856"/>
      <c r="Z1" s="856"/>
    </row>
    <row r="2" spans="1:26" s="148" customFormat="1" ht="22.5" customHeight="1">
      <c r="A2" s="857" t="s">
        <v>305</v>
      </c>
      <c r="B2" s="857"/>
      <c r="C2" s="857"/>
      <c r="D2" s="857"/>
      <c r="E2" s="857"/>
      <c r="F2" s="857"/>
      <c r="G2" s="857"/>
      <c r="H2" s="857"/>
      <c r="I2" s="857"/>
      <c r="J2" s="857"/>
      <c r="K2" s="857"/>
      <c r="L2" s="857"/>
      <c r="M2" s="857"/>
      <c r="N2" s="857"/>
      <c r="O2" s="857"/>
      <c r="P2" s="857"/>
      <c r="Q2" s="857"/>
      <c r="R2" s="857"/>
      <c r="S2" s="857"/>
      <c r="T2" s="857"/>
      <c r="U2" s="857"/>
      <c r="V2" s="857"/>
      <c r="W2" s="857"/>
      <c r="X2" s="857"/>
      <c r="Y2" s="857"/>
      <c r="Z2" s="857"/>
    </row>
    <row r="3" spans="1:26" s="148" customFormat="1" ht="22.5" customHeight="1">
      <c r="A3" s="858"/>
      <c r="B3" s="858"/>
      <c r="C3" s="858"/>
      <c r="D3" s="858"/>
      <c r="E3" s="858"/>
      <c r="F3" s="858"/>
      <c r="G3" s="858"/>
      <c r="H3" s="858"/>
      <c r="I3" s="858"/>
      <c r="J3" s="858"/>
      <c r="K3" s="858"/>
      <c r="L3" s="858"/>
      <c r="M3" s="858"/>
      <c r="N3" s="858"/>
      <c r="O3" s="858"/>
      <c r="P3" s="858"/>
      <c r="Q3" s="858"/>
      <c r="R3" s="858"/>
      <c r="S3" s="858"/>
      <c r="T3" s="858"/>
      <c r="U3" s="858"/>
      <c r="V3" s="858"/>
      <c r="W3" s="858"/>
      <c r="X3" s="858"/>
      <c r="Y3" s="858"/>
      <c r="Z3" s="858"/>
    </row>
    <row r="4" spans="1:26" s="151" customFormat="1" ht="33" customHeight="1">
      <c r="A4" s="859" t="s">
        <v>0</v>
      </c>
      <c r="B4" s="860" t="s">
        <v>160</v>
      </c>
      <c r="C4" s="861" t="s">
        <v>25</v>
      </c>
      <c r="D4" s="861"/>
      <c r="E4" s="861"/>
      <c r="F4" s="861"/>
      <c r="G4" s="845" t="s">
        <v>26</v>
      </c>
      <c r="H4" s="846"/>
      <c r="I4" s="846"/>
      <c r="J4" s="846"/>
      <c r="K4" s="846"/>
      <c r="L4" s="847"/>
      <c r="M4" s="845" t="s">
        <v>44</v>
      </c>
      <c r="N4" s="846"/>
      <c r="O4" s="846"/>
      <c r="P4" s="846"/>
      <c r="Q4" s="846"/>
      <c r="R4" s="847"/>
      <c r="S4" s="848" t="s">
        <v>45</v>
      </c>
      <c r="T4" s="849"/>
      <c r="U4" s="849"/>
      <c r="V4" s="849"/>
      <c r="W4" s="849"/>
      <c r="X4" s="850"/>
      <c r="Y4" s="866" t="s">
        <v>43</v>
      </c>
      <c r="Z4" s="866" t="s">
        <v>14</v>
      </c>
    </row>
    <row r="5" spans="1:26" s="151" customFormat="1" ht="15.75" customHeight="1">
      <c r="A5" s="859"/>
      <c r="B5" s="860"/>
      <c r="C5" s="861" t="s">
        <v>20</v>
      </c>
      <c r="D5" s="868" t="s">
        <v>21</v>
      </c>
      <c r="E5" s="868"/>
      <c r="F5" s="868"/>
      <c r="G5" s="860" t="s">
        <v>38</v>
      </c>
      <c r="H5" s="869" t="s">
        <v>21</v>
      </c>
      <c r="I5" s="869"/>
      <c r="J5" s="869"/>
      <c r="K5" s="869"/>
      <c r="L5" s="854" t="s">
        <v>202</v>
      </c>
      <c r="M5" s="860" t="s">
        <v>38</v>
      </c>
      <c r="N5" s="851" t="s">
        <v>21</v>
      </c>
      <c r="O5" s="852"/>
      <c r="P5" s="852"/>
      <c r="Q5" s="853"/>
      <c r="R5" s="854" t="s">
        <v>37</v>
      </c>
      <c r="S5" s="860" t="s">
        <v>38</v>
      </c>
      <c r="T5" s="851" t="s">
        <v>21</v>
      </c>
      <c r="U5" s="852"/>
      <c r="V5" s="852"/>
      <c r="W5" s="853"/>
      <c r="X5" s="854" t="s">
        <v>37</v>
      </c>
      <c r="Y5" s="866"/>
      <c r="Z5" s="866"/>
    </row>
    <row r="6" spans="1:26" s="151" customFormat="1" ht="95.25" customHeight="1">
      <c r="A6" s="859"/>
      <c r="B6" s="860"/>
      <c r="C6" s="861"/>
      <c r="D6" s="154" t="s">
        <v>17</v>
      </c>
      <c r="E6" s="154" t="s">
        <v>18</v>
      </c>
      <c r="F6" s="154" t="s">
        <v>19</v>
      </c>
      <c r="G6" s="860"/>
      <c r="H6" s="149" t="s">
        <v>39</v>
      </c>
      <c r="I6" s="149" t="s">
        <v>40</v>
      </c>
      <c r="J6" s="149" t="s">
        <v>41</v>
      </c>
      <c r="K6" s="149" t="s">
        <v>42</v>
      </c>
      <c r="L6" s="855"/>
      <c r="M6" s="860"/>
      <c r="N6" s="149" t="s">
        <v>39</v>
      </c>
      <c r="O6" s="149" t="s">
        <v>40</v>
      </c>
      <c r="P6" s="149" t="s">
        <v>41</v>
      </c>
      <c r="Q6" s="149" t="s">
        <v>42</v>
      </c>
      <c r="R6" s="855"/>
      <c r="S6" s="860"/>
      <c r="T6" s="149" t="s">
        <v>39</v>
      </c>
      <c r="U6" s="149" t="s">
        <v>40</v>
      </c>
      <c r="V6" s="149" t="s">
        <v>41</v>
      </c>
      <c r="W6" s="149" t="s">
        <v>42</v>
      </c>
      <c r="X6" s="855"/>
      <c r="Y6" s="866"/>
      <c r="Z6" s="866"/>
    </row>
    <row r="7" spans="1:26" s="68" customFormat="1" ht="24" customHeight="1">
      <c r="A7" s="174">
        <v>1</v>
      </c>
      <c r="B7" s="190" t="s">
        <v>122</v>
      </c>
      <c r="C7" s="126"/>
      <c r="D7" s="127"/>
      <c r="E7" s="127"/>
      <c r="F7" s="127"/>
      <c r="G7" s="173">
        <f>SUM(H7:J7)</f>
        <v>7</v>
      </c>
      <c r="H7" s="191">
        <v>0</v>
      </c>
      <c r="I7" s="191">
        <v>5.9</v>
      </c>
      <c r="J7" s="191">
        <v>1.1</v>
      </c>
      <c r="K7" s="125"/>
      <c r="L7" s="129"/>
      <c r="M7" s="181">
        <f>SUM(N7:Q7)</f>
        <v>1.14</v>
      </c>
      <c r="N7" s="177"/>
      <c r="O7" s="177">
        <v>0.44</v>
      </c>
      <c r="P7" s="177">
        <v>0.7</v>
      </c>
      <c r="Q7" s="177"/>
      <c r="R7" s="129">
        <v>163</v>
      </c>
      <c r="S7" s="181">
        <f>SUM(T7:W7)</f>
        <v>2.54</v>
      </c>
      <c r="T7" s="125"/>
      <c r="U7" s="125">
        <v>1.27</v>
      </c>
      <c r="V7" s="125">
        <v>1.27</v>
      </c>
      <c r="W7" s="125"/>
      <c r="X7" s="131">
        <v>363</v>
      </c>
      <c r="Y7" s="132">
        <f>+S7/G7</f>
        <v>0.3628571428571429</v>
      </c>
      <c r="Z7" s="70"/>
    </row>
    <row r="8" spans="1:26" s="68" customFormat="1" ht="18" customHeight="1">
      <c r="A8" s="192">
        <v>2</v>
      </c>
      <c r="B8" s="193" t="s">
        <v>123</v>
      </c>
      <c r="C8" s="66"/>
      <c r="D8" s="72"/>
      <c r="E8" s="72"/>
      <c r="F8" s="72"/>
      <c r="G8" s="194">
        <f aca="true" t="shared" si="0" ref="G8:G16">SUM(H8:J8)</f>
        <v>4</v>
      </c>
      <c r="H8" s="157">
        <v>1</v>
      </c>
      <c r="I8" s="157">
        <v>0.5</v>
      </c>
      <c r="J8" s="157">
        <v>2.5</v>
      </c>
      <c r="K8" s="158"/>
      <c r="L8" s="73"/>
      <c r="M8" s="195">
        <f aca="true" t="shared" si="1" ref="M8:M16">SUM(N8:Q8)</f>
        <v>0</v>
      </c>
      <c r="N8" s="178">
        <v>0</v>
      </c>
      <c r="O8" s="178"/>
      <c r="P8" s="178"/>
      <c r="Q8" s="178"/>
      <c r="R8" s="73"/>
      <c r="S8" s="195">
        <f aca="true" t="shared" si="2" ref="S8:S16">SUM(T8:W8)</f>
        <v>0</v>
      </c>
      <c r="T8" s="65"/>
      <c r="U8" s="65"/>
      <c r="V8" s="65"/>
      <c r="W8" s="65"/>
      <c r="X8" s="73"/>
      <c r="Y8" s="202">
        <f aca="true" t="shared" si="3" ref="Y8:Y16">+S8/G8</f>
        <v>0</v>
      </c>
      <c r="Z8" s="67"/>
    </row>
    <row r="9" spans="1:26" ht="24.75" customHeight="1">
      <c r="A9" s="192">
        <v>3</v>
      </c>
      <c r="B9" s="193" t="s">
        <v>124</v>
      </c>
      <c r="C9" s="23"/>
      <c r="D9" s="22"/>
      <c r="E9" s="22"/>
      <c r="F9" s="22"/>
      <c r="G9" s="194">
        <f t="shared" si="0"/>
        <v>4</v>
      </c>
      <c r="H9" s="157">
        <v>2</v>
      </c>
      <c r="I9" s="157">
        <v>1.5</v>
      </c>
      <c r="J9" s="157">
        <v>0.5</v>
      </c>
      <c r="K9" s="158"/>
      <c r="L9" s="73"/>
      <c r="M9" s="196">
        <f t="shared" si="1"/>
        <v>1</v>
      </c>
      <c r="N9" s="178">
        <v>0.32</v>
      </c>
      <c r="O9" s="178">
        <v>0.68</v>
      </c>
      <c r="P9" s="179"/>
      <c r="Q9" s="178"/>
      <c r="R9" s="63">
        <v>100</v>
      </c>
      <c r="S9" s="196">
        <f t="shared" si="2"/>
        <v>2.5</v>
      </c>
      <c r="T9" s="40">
        <v>0.52</v>
      </c>
      <c r="U9" s="40">
        <v>1.83</v>
      </c>
      <c r="V9" s="42">
        <v>0.15</v>
      </c>
      <c r="W9" s="40"/>
      <c r="X9" s="75">
        <v>314</v>
      </c>
      <c r="Y9" s="202">
        <f t="shared" si="3"/>
        <v>0.625</v>
      </c>
      <c r="Z9" s="41"/>
    </row>
    <row r="10" spans="1:26" ht="21.75" customHeight="1">
      <c r="A10" s="192">
        <v>4</v>
      </c>
      <c r="B10" s="193" t="s">
        <v>125</v>
      </c>
      <c r="C10" s="23"/>
      <c r="D10" s="22"/>
      <c r="E10" s="22"/>
      <c r="F10" s="22"/>
      <c r="G10" s="194">
        <f t="shared" si="0"/>
        <v>4</v>
      </c>
      <c r="H10" s="157">
        <v>0.47</v>
      </c>
      <c r="I10" s="157">
        <v>3.53</v>
      </c>
      <c r="J10" s="157">
        <v>0</v>
      </c>
      <c r="K10" s="158"/>
      <c r="L10" s="73"/>
      <c r="M10" s="196">
        <f t="shared" si="1"/>
        <v>1.2999999999999998</v>
      </c>
      <c r="N10" s="178">
        <v>0.47</v>
      </c>
      <c r="O10" s="178">
        <v>0.83</v>
      </c>
      <c r="P10" s="178"/>
      <c r="Q10" s="178"/>
      <c r="R10" s="63">
        <v>224</v>
      </c>
      <c r="S10" s="196">
        <f t="shared" si="2"/>
        <v>1.2999999999999998</v>
      </c>
      <c r="T10" s="40">
        <v>0.47</v>
      </c>
      <c r="U10" s="40">
        <v>0.83</v>
      </c>
      <c r="V10" s="40"/>
      <c r="W10" s="40"/>
      <c r="X10" s="63">
        <v>224</v>
      </c>
      <c r="Y10" s="202">
        <f t="shared" si="3"/>
        <v>0.32499999999999996</v>
      </c>
      <c r="Z10" s="41"/>
    </row>
    <row r="11" spans="1:26" s="68" customFormat="1" ht="21.75" customHeight="1">
      <c r="A11" s="192">
        <v>5</v>
      </c>
      <c r="B11" s="193" t="s">
        <v>126</v>
      </c>
      <c r="C11" s="66"/>
      <c r="D11" s="72"/>
      <c r="E11" s="72"/>
      <c r="F11" s="72"/>
      <c r="G11" s="194">
        <f t="shared" si="0"/>
        <v>4</v>
      </c>
      <c r="H11" s="157">
        <v>0.5</v>
      </c>
      <c r="I11" s="157">
        <v>0.5</v>
      </c>
      <c r="J11" s="157">
        <v>3</v>
      </c>
      <c r="K11" s="158"/>
      <c r="L11" s="73"/>
      <c r="M11" s="197">
        <f t="shared" si="1"/>
        <v>2</v>
      </c>
      <c r="N11" s="178">
        <v>0</v>
      </c>
      <c r="O11" s="178">
        <v>0</v>
      </c>
      <c r="P11" s="178">
        <v>2</v>
      </c>
      <c r="Q11" s="72"/>
      <c r="R11" s="159">
        <v>286</v>
      </c>
      <c r="S11" s="197">
        <f t="shared" si="2"/>
        <v>2.3</v>
      </c>
      <c r="T11" s="65"/>
      <c r="U11" s="65"/>
      <c r="V11" s="65">
        <v>2.3</v>
      </c>
      <c r="W11" s="72"/>
      <c r="X11" s="159">
        <v>334</v>
      </c>
      <c r="Y11" s="202">
        <f t="shared" si="3"/>
        <v>0.575</v>
      </c>
      <c r="Z11" s="67"/>
    </row>
    <row r="12" spans="1:26" ht="21.75" customHeight="1">
      <c r="A12" s="192">
        <v>6</v>
      </c>
      <c r="B12" s="193" t="s">
        <v>127</v>
      </c>
      <c r="C12" s="66"/>
      <c r="D12" s="72"/>
      <c r="E12" s="72"/>
      <c r="F12" s="72"/>
      <c r="G12" s="194">
        <f t="shared" si="0"/>
        <v>4</v>
      </c>
      <c r="H12" s="157">
        <v>0.9</v>
      </c>
      <c r="I12" s="157">
        <v>2.6</v>
      </c>
      <c r="J12" s="157">
        <v>0.5</v>
      </c>
      <c r="K12" s="158"/>
      <c r="L12" s="73"/>
      <c r="M12" s="196">
        <f t="shared" si="1"/>
        <v>0.3</v>
      </c>
      <c r="N12" s="178">
        <v>0</v>
      </c>
      <c r="O12" s="178">
        <v>0.18</v>
      </c>
      <c r="P12" s="178">
        <v>0.12</v>
      </c>
      <c r="Q12" s="178"/>
      <c r="R12" s="73">
        <v>45</v>
      </c>
      <c r="S12" s="196">
        <f t="shared" si="2"/>
        <v>0.43</v>
      </c>
      <c r="T12" s="65"/>
      <c r="U12" s="65">
        <v>0.31</v>
      </c>
      <c r="V12" s="65">
        <v>0.12</v>
      </c>
      <c r="W12" s="65"/>
      <c r="X12" s="73">
        <v>61</v>
      </c>
      <c r="Y12" s="202">
        <f t="shared" si="3"/>
        <v>0.1075</v>
      </c>
      <c r="Z12" s="41"/>
    </row>
    <row r="13" spans="1:26" s="68" customFormat="1" ht="21.75" customHeight="1">
      <c r="A13" s="192">
        <v>7</v>
      </c>
      <c r="B13" s="193" t="s">
        <v>128</v>
      </c>
      <c r="C13" s="66"/>
      <c r="D13" s="72"/>
      <c r="E13" s="160"/>
      <c r="F13" s="72"/>
      <c r="G13" s="194">
        <f t="shared" si="0"/>
        <v>4</v>
      </c>
      <c r="H13" s="157">
        <v>1.8</v>
      </c>
      <c r="I13" s="157">
        <v>0.2</v>
      </c>
      <c r="J13" s="157">
        <v>2</v>
      </c>
      <c r="K13" s="158"/>
      <c r="L13" s="73"/>
      <c r="M13" s="195">
        <f t="shared" si="1"/>
        <v>0</v>
      </c>
      <c r="N13" s="178"/>
      <c r="O13" s="178"/>
      <c r="P13" s="178"/>
      <c r="Q13" s="178"/>
      <c r="R13" s="63"/>
      <c r="S13" s="195">
        <f t="shared" si="2"/>
        <v>0</v>
      </c>
      <c r="T13" s="65"/>
      <c r="U13" s="65"/>
      <c r="V13" s="65"/>
      <c r="W13" s="65"/>
      <c r="X13" s="75"/>
      <c r="Y13" s="202">
        <f t="shared" si="3"/>
        <v>0</v>
      </c>
      <c r="Z13" s="67"/>
    </row>
    <row r="14" spans="1:26" s="68" customFormat="1" ht="21.75" customHeight="1">
      <c r="A14" s="192">
        <v>8</v>
      </c>
      <c r="B14" s="193" t="s">
        <v>129</v>
      </c>
      <c r="C14" s="66"/>
      <c r="D14" s="72"/>
      <c r="E14" s="160"/>
      <c r="F14" s="72"/>
      <c r="G14" s="194">
        <f t="shared" si="0"/>
        <v>5</v>
      </c>
      <c r="H14" s="157">
        <v>1.5</v>
      </c>
      <c r="I14" s="157">
        <v>2.5</v>
      </c>
      <c r="J14" s="157">
        <v>1</v>
      </c>
      <c r="K14" s="158"/>
      <c r="L14" s="73"/>
      <c r="M14" s="195">
        <f t="shared" si="1"/>
        <v>0.5</v>
      </c>
      <c r="N14" s="178"/>
      <c r="O14" s="178"/>
      <c r="P14" s="178">
        <v>0.5</v>
      </c>
      <c r="Q14" s="178"/>
      <c r="R14" s="63">
        <v>71</v>
      </c>
      <c r="S14" s="195">
        <f t="shared" si="2"/>
        <v>0.5</v>
      </c>
      <c r="T14" s="65"/>
      <c r="U14" s="65"/>
      <c r="V14" s="65">
        <v>0.5</v>
      </c>
      <c r="W14" s="65"/>
      <c r="X14" s="75">
        <v>71</v>
      </c>
      <c r="Y14" s="202">
        <f t="shared" si="3"/>
        <v>0.1</v>
      </c>
      <c r="Z14" s="67"/>
    </row>
    <row r="15" spans="1:26" s="68" customFormat="1" ht="21.75" customHeight="1">
      <c r="A15" s="192">
        <v>9</v>
      </c>
      <c r="B15" s="193" t="s">
        <v>130</v>
      </c>
      <c r="C15" s="66"/>
      <c r="D15" s="72"/>
      <c r="E15" s="160"/>
      <c r="F15" s="72"/>
      <c r="G15" s="194">
        <f t="shared" si="0"/>
        <v>7</v>
      </c>
      <c r="H15" s="157">
        <v>5</v>
      </c>
      <c r="I15" s="157">
        <v>0.5</v>
      </c>
      <c r="J15" s="157">
        <v>1.5</v>
      </c>
      <c r="K15" s="158"/>
      <c r="L15" s="73"/>
      <c r="M15" s="196">
        <f t="shared" si="1"/>
        <v>0.46</v>
      </c>
      <c r="N15" s="178">
        <v>0.46</v>
      </c>
      <c r="O15" s="178"/>
      <c r="P15" s="178"/>
      <c r="Q15" s="178"/>
      <c r="R15" s="63">
        <v>80</v>
      </c>
      <c r="S15" s="196">
        <f t="shared" si="2"/>
        <v>0.46</v>
      </c>
      <c r="T15" s="65">
        <v>0.46</v>
      </c>
      <c r="U15" s="65"/>
      <c r="V15" s="65"/>
      <c r="W15" s="65"/>
      <c r="X15" s="75">
        <v>80</v>
      </c>
      <c r="Y15" s="202">
        <f t="shared" si="3"/>
        <v>0.06571428571428571</v>
      </c>
      <c r="Z15" s="67"/>
    </row>
    <row r="16" spans="1:26" s="68" customFormat="1" ht="19.5" customHeight="1">
      <c r="A16" s="175">
        <v>10</v>
      </c>
      <c r="B16" s="176" t="s">
        <v>158</v>
      </c>
      <c r="C16" s="115"/>
      <c r="D16" s="116"/>
      <c r="E16" s="116"/>
      <c r="F16" s="116"/>
      <c r="G16" s="198">
        <f t="shared" si="0"/>
        <v>2</v>
      </c>
      <c r="H16" s="199">
        <v>1.8</v>
      </c>
      <c r="I16" s="199">
        <v>0.2</v>
      </c>
      <c r="J16" s="199">
        <v>0</v>
      </c>
      <c r="K16" s="200"/>
      <c r="L16" s="120"/>
      <c r="M16" s="201">
        <f t="shared" si="1"/>
        <v>0</v>
      </c>
      <c r="N16" s="180"/>
      <c r="O16" s="180"/>
      <c r="P16" s="180"/>
      <c r="Q16" s="180"/>
      <c r="R16" s="120"/>
      <c r="S16" s="201">
        <f t="shared" si="2"/>
        <v>0.55</v>
      </c>
      <c r="T16" s="122">
        <v>0.24</v>
      </c>
      <c r="U16" s="122">
        <v>0.31</v>
      </c>
      <c r="V16" s="122"/>
      <c r="W16" s="122"/>
      <c r="X16" s="120">
        <v>183</v>
      </c>
      <c r="Y16" s="203">
        <f t="shared" si="3"/>
        <v>0.275</v>
      </c>
      <c r="Z16" s="82"/>
    </row>
    <row r="17" spans="1:26" ht="21.75" customHeight="1">
      <c r="A17" s="924" t="s">
        <v>23</v>
      </c>
      <c r="B17" s="925"/>
      <c r="C17" s="54">
        <f aca="true" t="shared" si="4" ref="C17:P17">+SUM(C7:C16)</f>
        <v>0</v>
      </c>
      <c r="D17" s="182">
        <f t="shared" si="4"/>
        <v>0</v>
      </c>
      <c r="E17" s="182">
        <f t="shared" si="4"/>
        <v>0</v>
      </c>
      <c r="F17" s="182">
        <f t="shared" si="4"/>
        <v>0</v>
      </c>
      <c r="G17" s="186">
        <f t="shared" si="4"/>
        <v>45</v>
      </c>
      <c r="H17" s="183">
        <f t="shared" si="4"/>
        <v>14.97</v>
      </c>
      <c r="I17" s="183">
        <f t="shared" si="4"/>
        <v>17.929999999999996</v>
      </c>
      <c r="J17" s="183">
        <f t="shared" si="4"/>
        <v>12.1</v>
      </c>
      <c r="K17" s="183">
        <f t="shared" si="4"/>
        <v>0</v>
      </c>
      <c r="L17" s="184">
        <f t="shared" si="4"/>
        <v>0</v>
      </c>
      <c r="M17" s="185">
        <f t="shared" si="4"/>
        <v>6.699999999999999</v>
      </c>
      <c r="N17" s="186">
        <f t="shared" si="4"/>
        <v>1.25</v>
      </c>
      <c r="O17" s="186">
        <f t="shared" si="4"/>
        <v>2.1300000000000003</v>
      </c>
      <c r="P17" s="183">
        <f t="shared" si="4"/>
        <v>3.3200000000000003</v>
      </c>
      <c r="Q17" s="183"/>
      <c r="R17" s="187">
        <f>+SUM(R7:R16)</f>
        <v>969</v>
      </c>
      <c r="S17" s="183">
        <f>+SUM(S7:S16)</f>
        <v>10.580000000000002</v>
      </c>
      <c r="T17" s="186">
        <f>+SUM(T7:T16)</f>
        <v>1.69</v>
      </c>
      <c r="U17" s="183">
        <f>+SUM(U7:U16)</f>
        <v>4.55</v>
      </c>
      <c r="V17" s="183">
        <f>+SUM(V7:V16)</f>
        <v>4.34</v>
      </c>
      <c r="W17" s="183"/>
      <c r="X17" s="187">
        <f>+SUM(X7:X16)</f>
        <v>1630</v>
      </c>
      <c r="Y17" s="188">
        <f>+S17/G17</f>
        <v>0.23511111111111116</v>
      </c>
      <c r="Z17" s="189"/>
    </row>
    <row r="18" spans="2:26" ht="15">
      <c r="B18" s="170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</row>
    <row r="19" spans="2:25" ht="15">
      <c r="B19" s="162"/>
      <c r="R19" s="164"/>
      <c r="U19" s="36"/>
      <c r="X19" s="165"/>
      <c r="Y19" s="166"/>
    </row>
    <row r="20" spans="7:24" ht="15">
      <c r="G20" s="167"/>
      <c r="N20" s="36"/>
      <c r="S20" s="168"/>
      <c r="X20" s="169"/>
    </row>
  </sheetData>
  <sheetProtection/>
  <mergeCells count="23">
    <mergeCell ref="X5:X6"/>
    <mergeCell ref="M4:R4"/>
    <mergeCell ref="Z4:Z6"/>
    <mergeCell ref="H5:K5"/>
    <mergeCell ref="L5:L6"/>
    <mergeCell ref="M5:M6"/>
    <mergeCell ref="A1:Z1"/>
    <mergeCell ref="A2:Z2"/>
    <mergeCell ref="A3:Z3"/>
    <mergeCell ref="A4:A6"/>
    <mergeCell ref="B4:B6"/>
    <mergeCell ref="C4:F4"/>
    <mergeCell ref="G4:L4"/>
    <mergeCell ref="S4:X4"/>
    <mergeCell ref="Y4:Y6"/>
    <mergeCell ref="T5:W5"/>
    <mergeCell ref="A17:B17"/>
    <mergeCell ref="N5:Q5"/>
    <mergeCell ref="R5:R6"/>
    <mergeCell ref="S5:S6"/>
    <mergeCell ref="C5:C6"/>
    <mergeCell ref="D5:F5"/>
    <mergeCell ref="G5:G6"/>
  </mergeCells>
  <printOptions/>
  <pageMargins left="0.21" right="0.2" top="0.66" bottom="0.31" header="0.34" footer="0.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0"/>
  <sheetViews>
    <sheetView tabSelected="1" workbookViewId="0" topLeftCell="A1">
      <selection activeCell="M5" sqref="M5:M6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7.125" style="26" customWidth="1"/>
    <col min="20" max="20" width="45.25390625" style="26" customWidth="1"/>
    <col min="21" max="21" width="5.50390625" style="26" customWidth="1"/>
    <col min="22" max="22" width="13.875" style="649" customWidth="1"/>
    <col min="23" max="23" width="10.625" style="26" customWidth="1"/>
    <col min="24" max="24" width="20.875" style="26" customWidth="1"/>
    <col min="25" max="27" width="9.00390625" style="26" customWidth="1"/>
    <col min="28" max="16384" width="9.00390625" style="26" customWidth="1"/>
  </cols>
  <sheetData>
    <row r="1" spans="1:24" ht="30" customHeight="1">
      <c r="A1" s="856" t="s">
        <v>36</v>
      </c>
      <c r="B1" s="856"/>
      <c r="C1" s="856"/>
      <c r="D1" s="856"/>
      <c r="E1" s="856"/>
      <c r="F1" s="856"/>
      <c r="G1" s="856"/>
      <c r="H1" s="856"/>
      <c r="I1" s="856"/>
      <c r="J1" s="856"/>
      <c r="K1" s="856"/>
      <c r="L1" s="856"/>
      <c r="M1" s="856"/>
      <c r="N1" s="856"/>
      <c r="O1" s="856"/>
      <c r="P1" s="856"/>
      <c r="Q1" s="856"/>
      <c r="R1" s="856"/>
      <c r="S1" s="856"/>
      <c r="T1" s="856"/>
      <c r="U1" s="636"/>
      <c r="V1" s="636"/>
      <c r="W1" s="146"/>
      <c r="X1" s="146"/>
    </row>
    <row r="2" spans="1:24" s="148" customFormat="1" ht="22.5" customHeight="1">
      <c r="A2" s="857" t="s">
        <v>356</v>
      </c>
      <c r="B2" s="857"/>
      <c r="C2" s="857"/>
      <c r="D2" s="857"/>
      <c r="E2" s="857"/>
      <c r="F2" s="857"/>
      <c r="G2" s="857"/>
      <c r="H2" s="857"/>
      <c r="I2" s="857"/>
      <c r="J2" s="857"/>
      <c r="K2" s="857"/>
      <c r="L2" s="857"/>
      <c r="M2" s="857"/>
      <c r="N2" s="857"/>
      <c r="O2" s="857"/>
      <c r="P2" s="857"/>
      <c r="Q2" s="857"/>
      <c r="R2" s="857"/>
      <c r="S2" s="857"/>
      <c r="T2" s="857"/>
      <c r="U2" s="637"/>
      <c r="V2" s="637"/>
      <c r="W2" s="147"/>
      <c r="X2" s="147"/>
    </row>
    <row r="3" spans="1:24" s="148" customFormat="1" ht="22.5" customHeight="1">
      <c r="A3" s="858"/>
      <c r="B3" s="858"/>
      <c r="C3" s="858"/>
      <c r="D3" s="858"/>
      <c r="E3" s="858"/>
      <c r="F3" s="858"/>
      <c r="G3" s="858"/>
      <c r="H3" s="858"/>
      <c r="I3" s="858"/>
      <c r="J3" s="858"/>
      <c r="K3" s="858"/>
      <c r="L3" s="858"/>
      <c r="M3" s="858"/>
      <c r="N3" s="858"/>
      <c r="O3" s="858"/>
      <c r="P3" s="858"/>
      <c r="Q3" s="858"/>
      <c r="R3" s="858"/>
      <c r="S3" s="858"/>
      <c r="T3" s="858"/>
      <c r="U3" s="658"/>
      <c r="V3" s="658"/>
      <c r="W3" s="147"/>
      <c r="X3" s="147"/>
    </row>
    <row r="4" spans="1:23" s="151" customFormat="1" ht="46.5" customHeight="1">
      <c r="A4" s="859" t="s">
        <v>0</v>
      </c>
      <c r="B4" s="860" t="s">
        <v>1</v>
      </c>
      <c r="C4" s="861" t="s">
        <v>25</v>
      </c>
      <c r="D4" s="861"/>
      <c r="E4" s="861"/>
      <c r="F4" s="861"/>
      <c r="G4" s="845" t="s">
        <v>26</v>
      </c>
      <c r="H4" s="846"/>
      <c r="I4" s="846"/>
      <c r="J4" s="846"/>
      <c r="K4" s="846"/>
      <c r="L4" s="847"/>
      <c r="M4" s="848" t="s">
        <v>307</v>
      </c>
      <c r="N4" s="849"/>
      <c r="O4" s="849"/>
      <c r="P4" s="849"/>
      <c r="Q4" s="849"/>
      <c r="R4" s="850"/>
      <c r="S4" s="866" t="s">
        <v>43</v>
      </c>
      <c r="T4" s="859" t="s">
        <v>14</v>
      </c>
      <c r="U4" s="866" t="s">
        <v>329</v>
      </c>
      <c r="V4" s="867" t="s">
        <v>313</v>
      </c>
      <c r="W4" s="150"/>
    </row>
    <row r="5" spans="1:24" s="151" customFormat="1" ht="14.25" customHeight="1">
      <c r="A5" s="859"/>
      <c r="B5" s="860"/>
      <c r="C5" s="861" t="s">
        <v>20</v>
      </c>
      <c r="D5" s="868" t="s">
        <v>21</v>
      </c>
      <c r="E5" s="868"/>
      <c r="F5" s="868"/>
      <c r="G5" s="860" t="s">
        <v>38</v>
      </c>
      <c r="H5" s="869" t="s">
        <v>21</v>
      </c>
      <c r="I5" s="869"/>
      <c r="J5" s="869"/>
      <c r="K5" s="869"/>
      <c r="L5" s="854" t="s">
        <v>202</v>
      </c>
      <c r="M5" s="860" t="s">
        <v>38</v>
      </c>
      <c r="N5" s="851" t="s">
        <v>21</v>
      </c>
      <c r="O5" s="852"/>
      <c r="P5" s="852"/>
      <c r="Q5" s="853"/>
      <c r="R5" s="854" t="s">
        <v>37</v>
      </c>
      <c r="S5" s="866"/>
      <c r="T5" s="859"/>
      <c r="U5" s="866"/>
      <c r="V5" s="867"/>
      <c r="W5" s="152"/>
      <c r="X5" s="153"/>
    </row>
    <row r="6" spans="1:24" s="151" customFormat="1" ht="76.5">
      <c r="A6" s="859"/>
      <c r="B6" s="860"/>
      <c r="C6" s="861"/>
      <c r="D6" s="154" t="s">
        <v>17</v>
      </c>
      <c r="E6" s="154" t="s">
        <v>18</v>
      </c>
      <c r="F6" s="154" t="s">
        <v>19</v>
      </c>
      <c r="G6" s="860"/>
      <c r="H6" s="149" t="s">
        <v>39</v>
      </c>
      <c r="I6" s="149" t="s">
        <v>40</v>
      </c>
      <c r="J6" s="149" t="s">
        <v>41</v>
      </c>
      <c r="K6" s="149" t="s">
        <v>42</v>
      </c>
      <c r="L6" s="855"/>
      <c r="M6" s="860"/>
      <c r="N6" s="149" t="s">
        <v>39</v>
      </c>
      <c r="O6" s="149" t="s">
        <v>40</v>
      </c>
      <c r="P6" s="149" t="s">
        <v>41</v>
      </c>
      <c r="Q6" s="149" t="s">
        <v>42</v>
      </c>
      <c r="R6" s="855"/>
      <c r="S6" s="866"/>
      <c r="T6" s="859"/>
      <c r="U6" s="866"/>
      <c r="V6" s="867"/>
      <c r="W6" s="155"/>
      <c r="X6" s="153"/>
    </row>
    <row r="7" spans="1:24" s="148" customFormat="1" ht="17.25" customHeight="1">
      <c r="A7" s="639"/>
      <c r="B7" s="640"/>
      <c r="C7" s="641"/>
      <c r="D7" s="641"/>
      <c r="E7" s="641"/>
      <c r="F7" s="641"/>
      <c r="G7" s="640"/>
      <c r="H7" s="642"/>
      <c r="I7" s="642"/>
      <c r="J7" s="642"/>
      <c r="K7" s="642"/>
      <c r="L7" s="642"/>
      <c r="M7" s="642"/>
      <c r="N7" s="642"/>
      <c r="O7" s="642"/>
      <c r="P7" s="642"/>
      <c r="Q7" s="642"/>
      <c r="R7" s="642"/>
      <c r="S7" s="640"/>
      <c r="T7" s="689"/>
      <c r="U7" s="640"/>
      <c r="V7" s="643"/>
      <c r="W7" s="155"/>
      <c r="X7" s="643"/>
    </row>
    <row r="8" spans="1:23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4973</v>
      </c>
      <c r="M8" s="547">
        <f>SUM(N8:Q8)</f>
        <v>40.150000000000006</v>
      </c>
      <c r="N8" s="465">
        <v>8</v>
      </c>
      <c r="O8" s="465">
        <v>19.19</v>
      </c>
      <c r="P8" s="465">
        <v>12.96</v>
      </c>
      <c r="Q8" s="465"/>
      <c r="R8" s="616">
        <v>8356.85</v>
      </c>
      <c r="S8" s="549">
        <f aca="true" t="shared" si="0" ref="S8:S20">+M8/G8</f>
        <v>1.152741889175998</v>
      </c>
      <c r="T8" s="814" t="s">
        <v>311</v>
      </c>
      <c r="U8" s="755">
        <v>4</v>
      </c>
      <c r="V8" s="646">
        <f>+M8+U8</f>
        <v>44.150000000000006</v>
      </c>
      <c r="W8" s="71"/>
    </row>
    <row r="9" spans="1:22" s="68" customFormat="1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1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8115</v>
      </c>
      <c r="M9" s="826">
        <f aca="true" t="shared" si="2" ref="M9:M19">SUM(N9:Q9)</f>
        <v>36.683</v>
      </c>
      <c r="N9" s="344">
        <v>12.1</v>
      </c>
      <c r="O9" s="514">
        <v>20.29</v>
      </c>
      <c r="P9" s="344">
        <v>4.293</v>
      </c>
      <c r="Q9" s="344"/>
      <c r="R9" s="827">
        <v>5523.85</v>
      </c>
      <c r="S9" s="604">
        <f t="shared" si="0"/>
        <v>0.6353244773896327</v>
      </c>
      <c r="T9" s="828" t="s">
        <v>343</v>
      </c>
      <c r="U9" s="756">
        <f>1.8+2.44</f>
        <v>4.24</v>
      </c>
      <c r="V9" s="646">
        <f aca="true" t="shared" si="3" ref="V9:V19">+M9+U9</f>
        <v>40.923</v>
      </c>
    </row>
    <row r="10" spans="1:25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1"/>
        <v>43</v>
      </c>
      <c r="H10" s="558">
        <v>12.7</v>
      </c>
      <c r="I10" s="558">
        <v>19.2</v>
      </c>
      <c r="J10" s="558">
        <v>11.1</v>
      </c>
      <c r="K10" s="531"/>
      <c r="L10" s="629">
        <v>5902</v>
      </c>
      <c r="M10" s="826">
        <f>SUM(N10:Q10)</f>
        <v>33.405</v>
      </c>
      <c r="N10" s="471">
        <f>-0.6+7.85</f>
        <v>7.25</v>
      </c>
      <c r="O10" s="471">
        <f>-0.2+16.92</f>
        <v>16.720000000000002</v>
      </c>
      <c r="P10" s="471">
        <v>9.435</v>
      </c>
      <c r="Q10" s="471"/>
      <c r="R10" s="618">
        <v>5391</v>
      </c>
      <c r="S10" s="604">
        <f t="shared" si="0"/>
        <v>0.776860465116279</v>
      </c>
      <c r="T10" s="473" t="s">
        <v>357</v>
      </c>
      <c r="U10" s="756">
        <v>0.8</v>
      </c>
      <c r="V10" s="646">
        <f t="shared" si="3"/>
        <v>34.205</v>
      </c>
      <c r="Y10" s="77"/>
    </row>
    <row r="11" spans="1:24" ht="25.5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1"/>
        <v>60</v>
      </c>
      <c r="H11" s="558">
        <v>17</v>
      </c>
      <c r="I11" s="558">
        <v>18</v>
      </c>
      <c r="J11" s="558">
        <v>25</v>
      </c>
      <c r="K11" s="531"/>
      <c r="L11" s="629">
        <v>8188</v>
      </c>
      <c r="M11" s="826">
        <f>SUM(N11:Q11)</f>
        <v>17.96</v>
      </c>
      <c r="N11" s="607">
        <f>4+1.57</f>
        <v>5.57</v>
      </c>
      <c r="O11" s="471">
        <v>5.82</v>
      </c>
      <c r="P11" s="471">
        <v>6.57</v>
      </c>
      <c r="Q11" s="471"/>
      <c r="R11" s="618">
        <v>1891</v>
      </c>
      <c r="S11" s="604">
        <f t="shared" si="0"/>
        <v>0.29933333333333334</v>
      </c>
      <c r="T11" s="828" t="s">
        <v>349</v>
      </c>
      <c r="U11" s="756">
        <v>10.27</v>
      </c>
      <c r="V11" s="646">
        <f t="shared" si="3"/>
        <v>28.23</v>
      </c>
      <c r="X11" s="36"/>
    </row>
    <row r="12" spans="1:22" ht="25.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1"/>
        <v>84.40899999999999</v>
      </c>
      <c r="H12" s="558">
        <f>0.04+20.07</f>
        <v>20.11</v>
      </c>
      <c r="I12" s="558">
        <v>54.049</v>
      </c>
      <c r="J12" s="558">
        <v>7.12</v>
      </c>
      <c r="K12" s="531">
        <v>3.13</v>
      </c>
      <c r="L12" s="629">
        <v>11271</v>
      </c>
      <c r="M12" s="767">
        <f t="shared" si="2"/>
        <v>72.7</v>
      </c>
      <c r="N12" s="471">
        <v>18.8</v>
      </c>
      <c r="O12" s="471">
        <v>46.9</v>
      </c>
      <c r="P12" s="471">
        <v>5.7</v>
      </c>
      <c r="Q12" s="471">
        <v>1.3</v>
      </c>
      <c r="R12" s="618">
        <v>9516.4</v>
      </c>
      <c r="S12" s="604">
        <f t="shared" si="0"/>
        <v>0.8612825646554279</v>
      </c>
      <c r="T12" s="828" t="s">
        <v>347</v>
      </c>
      <c r="U12" s="756">
        <v>1.2</v>
      </c>
      <c r="V12" s="646">
        <f t="shared" si="3"/>
        <v>73.9</v>
      </c>
    </row>
    <row r="13" spans="1:22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1"/>
        <v>88.69</v>
      </c>
      <c r="H13" s="558">
        <v>15.02</v>
      </c>
      <c r="I13" s="558">
        <v>43.97</v>
      </c>
      <c r="J13" s="558">
        <v>29.7</v>
      </c>
      <c r="K13" s="829"/>
      <c r="L13" s="629">
        <v>11445</v>
      </c>
      <c r="M13" s="767">
        <f t="shared" si="2"/>
        <v>51.97</v>
      </c>
      <c r="N13" s="471">
        <v>8.29</v>
      </c>
      <c r="O13" s="471">
        <v>25.7</v>
      </c>
      <c r="P13" s="471">
        <v>17.98</v>
      </c>
      <c r="Q13" s="471"/>
      <c r="R13" s="618">
        <v>5905</v>
      </c>
      <c r="S13" s="604">
        <f t="shared" si="0"/>
        <v>0.5859736159657233</v>
      </c>
      <c r="T13" s="473"/>
      <c r="U13" s="756"/>
      <c r="V13" s="646">
        <f t="shared" si="3"/>
        <v>51.97</v>
      </c>
    </row>
    <row r="14" spans="1:22" s="68" customFormat="1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1"/>
        <v>133.32</v>
      </c>
      <c r="H14" s="558">
        <v>36.01</v>
      </c>
      <c r="I14" s="558">
        <v>41.84</v>
      </c>
      <c r="J14" s="558">
        <v>55.47</v>
      </c>
      <c r="K14" s="531"/>
      <c r="L14" s="629">
        <v>18079</v>
      </c>
      <c r="M14" s="767">
        <f t="shared" si="2"/>
        <v>81.27</v>
      </c>
      <c r="N14" s="471">
        <v>12.61</v>
      </c>
      <c r="O14" s="471">
        <v>39.85</v>
      </c>
      <c r="P14" s="471">
        <v>28.81</v>
      </c>
      <c r="Q14" s="471"/>
      <c r="R14" s="618">
        <v>9083.8</v>
      </c>
      <c r="S14" s="604">
        <f t="shared" si="0"/>
        <v>0.6095859585958596</v>
      </c>
      <c r="T14" s="473" t="s">
        <v>359</v>
      </c>
      <c r="U14" s="756">
        <f>2.25+14.46</f>
        <v>16.71</v>
      </c>
      <c r="V14" s="646">
        <f t="shared" si="3"/>
        <v>97.97999999999999</v>
      </c>
    </row>
    <row r="15" spans="1:22" ht="25.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1"/>
        <v>94</v>
      </c>
      <c r="H15" s="558">
        <v>28.09</v>
      </c>
      <c r="I15" s="558">
        <v>48.3</v>
      </c>
      <c r="J15" s="558">
        <v>17.61</v>
      </c>
      <c r="K15" s="531"/>
      <c r="L15" s="629">
        <v>12923</v>
      </c>
      <c r="M15" s="767">
        <f t="shared" si="2"/>
        <v>70.6</v>
      </c>
      <c r="N15" s="471">
        <v>14.01</v>
      </c>
      <c r="O15" s="471">
        <v>47.26</v>
      </c>
      <c r="P15" s="471">
        <v>9.33</v>
      </c>
      <c r="Q15" s="471"/>
      <c r="R15" s="618">
        <v>9240.54</v>
      </c>
      <c r="S15" s="604">
        <f t="shared" si="0"/>
        <v>0.751063829787234</v>
      </c>
      <c r="T15" s="473" t="s">
        <v>360</v>
      </c>
      <c r="U15" s="756">
        <f>26.6+7.2</f>
        <v>33.800000000000004</v>
      </c>
      <c r="V15" s="646">
        <f t="shared" si="3"/>
        <v>104.4</v>
      </c>
    </row>
    <row r="16" spans="1:22" s="68" customFormat="1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1"/>
        <v>38.56</v>
      </c>
      <c r="H16" s="558">
        <v>12.91</v>
      </c>
      <c r="I16" s="558">
        <v>9.51</v>
      </c>
      <c r="J16" s="558">
        <v>16.14</v>
      </c>
      <c r="K16" s="531"/>
      <c r="L16" s="629">
        <v>5391</v>
      </c>
      <c r="M16" s="767">
        <f>SUM(N16:P16)</f>
        <v>26.67</v>
      </c>
      <c r="N16" s="471">
        <v>5.23</v>
      </c>
      <c r="O16" s="471">
        <v>19.52</v>
      </c>
      <c r="P16" s="471">
        <v>1.92</v>
      </c>
      <c r="Q16" s="471"/>
      <c r="R16" s="618">
        <v>4995.5</v>
      </c>
      <c r="S16" s="604">
        <f t="shared" si="0"/>
        <v>0.691649377593361</v>
      </c>
      <c r="T16" s="473" t="s">
        <v>344</v>
      </c>
      <c r="U16" s="756">
        <f>1+1.3</f>
        <v>2.3</v>
      </c>
      <c r="V16" s="646">
        <f t="shared" si="3"/>
        <v>28.970000000000002</v>
      </c>
    </row>
    <row r="17" spans="1:22" s="68" customFormat="1" ht="38.25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1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14216</v>
      </c>
      <c r="M17" s="767">
        <f t="shared" si="2"/>
        <v>75.15</v>
      </c>
      <c r="N17" s="471">
        <v>32.06</v>
      </c>
      <c r="O17" s="471">
        <v>42.09</v>
      </c>
      <c r="P17" s="471">
        <v>1</v>
      </c>
      <c r="Q17" s="471"/>
      <c r="R17" s="618">
        <v>8943.5</v>
      </c>
      <c r="S17" s="604">
        <f t="shared" si="0"/>
        <v>0.8163154464479688</v>
      </c>
      <c r="T17" s="828" t="s">
        <v>358</v>
      </c>
      <c r="U17" s="756">
        <f>12+6.95</f>
        <v>18.95</v>
      </c>
      <c r="V17" s="646">
        <f t="shared" si="3"/>
        <v>94.10000000000001</v>
      </c>
    </row>
    <row r="18" spans="1:22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1"/>
        <v>2.6</v>
      </c>
      <c r="H18" s="607">
        <v>1</v>
      </c>
      <c r="I18" s="607"/>
      <c r="J18" s="607">
        <v>1.6</v>
      </c>
      <c r="K18" s="531"/>
      <c r="L18" s="629">
        <v>372</v>
      </c>
      <c r="M18" s="826">
        <f t="shared" si="2"/>
        <v>1.44</v>
      </c>
      <c r="N18" s="607">
        <f>0.43+0.22+0.03</f>
        <v>0.68</v>
      </c>
      <c r="O18" s="623">
        <f>+TXHL!U8</f>
        <v>0</v>
      </c>
      <c r="P18" s="607">
        <v>0.76</v>
      </c>
      <c r="Q18" s="623"/>
      <c r="R18" s="618">
        <f>+TXHL!X8+31</f>
        <v>66</v>
      </c>
      <c r="S18" s="604">
        <f t="shared" si="0"/>
        <v>0.5538461538461538</v>
      </c>
      <c r="T18" s="473" t="s">
        <v>345</v>
      </c>
      <c r="U18" s="756">
        <v>3.39</v>
      </c>
      <c r="V18" s="646">
        <f t="shared" si="3"/>
        <v>4.83</v>
      </c>
    </row>
    <row r="19" spans="1:22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1"/>
        <v>18</v>
      </c>
      <c r="H19" s="650">
        <v>4</v>
      </c>
      <c r="I19" s="650">
        <v>4.4</v>
      </c>
      <c r="J19" s="650">
        <v>9.6</v>
      </c>
      <c r="K19" s="651"/>
      <c r="L19" s="630">
        <v>2385</v>
      </c>
      <c r="M19" s="584">
        <f t="shared" si="2"/>
        <v>12</v>
      </c>
      <c r="N19" s="585">
        <v>2.9</v>
      </c>
      <c r="O19" s="585">
        <v>0.4</v>
      </c>
      <c r="P19" s="585">
        <v>8.7</v>
      </c>
      <c r="Q19" s="624"/>
      <c r="R19" s="621">
        <v>1055</v>
      </c>
      <c r="S19" s="610">
        <f t="shared" si="0"/>
        <v>0.6666666666666666</v>
      </c>
      <c r="T19" s="587"/>
      <c r="U19" s="758"/>
      <c r="V19" s="646">
        <f t="shared" si="3"/>
        <v>12</v>
      </c>
    </row>
    <row r="20" spans="1:22" ht="21.75" customHeight="1">
      <c r="A20" s="862" t="s">
        <v>23</v>
      </c>
      <c r="B20" s="863"/>
      <c r="C20" s="815">
        <f aca="true" t="shared" si="4" ref="C20:L20">+SUM(C8:C19)</f>
        <v>976.8000000000001</v>
      </c>
      <c r="D20" s="816">
        <f t="shared" si="4"/>
        <v>369.9</v>
      </c>
      <c r="E20" s="816">
        <f t="shared" si="4"/>
        <v>358.7</v>
      </c>
      <c r="F20" s="816">
        <f t="shared" si="4"/>
        <v>248.19999999999996</v>
      </c>
      <c r="G20" s="817">
        <f t="shared" si="4"/>
        <v>747.208</v>
      </c>
      <c r="H20" s="818">
        <f t="shared" si="4"/>
        <v>231.55499999999998</v>
      </c>
      <c r="I20" s="818">
        <f t="shared" si="4"/>
        <v>317.46799999999996</v>
      </c>
      <c r="J20" s="818">
        <f t="shared" si="4"/>
        <v>195.055</v>
      </c>
      <c r="K20" s="818">
        <f>+SUM(K8:K19)</f>
        <v>3.13</v>
      </c>
      <c r="L20" s="819">
        <f t="shared" si="4"/>
        <v>103260</v>
      </c>
      <c r="M20" s="820">
        <f aca="true" t="shared" si="5" ref="M20:R20">+SUM(M8:M19)</f>
        <v>519.998</v>
      </c>
      <c r="N20" s="821">
        <f t="shared" si="5"/>
        <v>127.50000000000003</v>
      </c>
      <c r="O20" s="820">
        <f t="shared" si="5"/>
        <v>283.74</v>
      </c>
      <c r="P20" s="820">
        <f t="shared" si="5"/>
        <v>107.45800000000001</v>
      </c>
      <c r="Q20" s="820">
        <f t="shared" si="5"/>
        <v>1.3</v>
      </c>
      <c r="R20" s="822">
        <f t="shared" si="5"/>
        <v>69968.44</v>
      </c>
      <c r="S20" s="823">
        <f t="shared" si="0"/>
        <v>0.6959213498784811</v>
      </c>
      <c r="T20" s="824" t="str">
        <f>+U4&amp;U20&amp;" km"</f>
        <v>Tổng đường dự án và đường khác: 95,66 km</v>
      </c>
      <c r="U20" s="825">
        <f>+SUM(U8:U19)</f>
        <v>95.66000000000001</v>
      </c>
      <c r="V20" s="656">
        <f>SUM(V8:V19)</f>
        <v>615.6580000000001</v>
      </c>
    </row>
    <row r="21" spans="2:22" ht="30" customHeight="1">
      <c r="B21" s="864" t="s">
        <v>48</v>
      </c>
      <c r="C21" s="865"/>
      <c r="D21" s="865"/>
      <c r="E21" s="865"/>
      <c r="F21" s="865"/>
      <c r="G21" s="865"/>
      <c r="H21" s="865"/>
      <c r="I21" s="865"/>
      <c r="J21" s="865"/>
      <c r="K21" s="865"/>
      <c r="L21" s="865"/>
      <c r="M21" s="865"/>
      <c r="N21" s="865"/>
      <c r="O21" s="865"/>
      <c r="P21" s="865"/>
      <c r="Q21" s="865"/>
      <c r="R21" s="865"/>
      <c r="S21" s="865"/>
      <c r="T21" s="865"/>
      <c r="U21" s="726"/>
      <c r="V21" s="770"/>
    </row>
    <row r="22" spans="2:22" ht="15">
      <c r="B22" s="162"/>
      <c r="O22" s="36"/>
      <c r="R22" s="165"/>
      <c r="S22" s="166"/>
      <c r="V22" s="793"/>
    </row>
    <row r="23" spans="2:18" ht="15">
      <c r="B23" s="659"/>
      <c r="G23" s="167"/>
      <c r="M23" s="768"/>
      <c r="R23" s="769"/>
    </row>
    <row r="24" spans="12:18" ht="15">
      <c r="L24" s="831" t="s">
        <v>361</v>
      </c>
      <c r="M24" s="163">
        <f aca="true" t="shared" si="6" ref="M24:R24">+M20</f>
        <v>519.998</v>
      </c>
      <c r="N24" s="163">
        <f t="shared" si="6"/>
        <v>127.50000000000003</v>
      </c>
      <c r="O24" s="163">
        <f t="shared" si="6"/>
        <v>283.74</v>
      </c>
      <c r="P24" s="163">
        <f t="shared" si="6"/>
        <v>107.45800000000001</v>
      </c>
      <c r="Q24" s="163">
        <f t="shared" si="6"/>
        <v>1.3</v>
      </c>
      <c r="R24" s="163">
        <f t="shared" si="6"/>
        <v>69968.44</v>
      </c>
    </row>
    <row r="25" spans="12:18" ht="15">
      <c r="L25" s="831" t="s">
        <v>362</v>
      </c>
      <c r="M25" s="163">
        <f>+'29.8.2013'!M20</f>
        <v>489.49</v>
      </c>
      <c r="N25" s="163">
        <f>+'29.8.2013'!N20</f>
        <v>116.20000000000002</v>
      </c>
      <c r="O25" s="163">
        <f>+'29.8.2013'!O20</f>
        <v>268.61</v>
      </c>
      <c r="P25" s="163">
        <f>+'29.8.2013'!P20</f>
        <v>103.38</v>
      </c>
      <c r="Q25" s="163">
        <f>+'29.8.2013'!Q20</f>
        <v>1.3</v>
      </c>
      <c r="R25" s="163">
        <f>+'29.8.2013'!R20</f>
        <v>67845.25</v>
      </c>
    </row>
    <row r="26" spans="12:18" ht="15">
      <c r="L26" s="831" t="s">
        <v>363</v>
      </c>
      <c r="M26" s="163">
        <f aca="true" t="shared" si="7" ref="M26:R26">+M20-M25</f>
        <v>30.508000000000038</v>
      </c>
      <c r="N26" s="163">
        <f t="shared" si="7"/>
        <v>11.300000000000011</v>
      </c>
      <c r="O26" s="163">
        <f t="shared" si="7"/>
        <v>15.129999999999995</v>
      </c>
      <c r="P26" s="163">
        <f t="shared" si="7"/>
        <v>4.078000000000017</v>
      </c>
      <c r="Q26" s="163">
        <f t="shared" si="7"/>
        <v>0</v>
      </c>
      <c r="R26" s="163">
        <f t="shared" si="7"/>
        <v>2123.1900000000023</v>
      </c>
    </row>
    <row r="32" spans="7:10" ht="15">
      <c r="G32" s="754"/>
      <c r="H32" s="754"/>
      <c r="I32" s="754"/>
      <c r="J32" s="754"/>
    </row>
    <row r="33" ht="15">
      <c r="B33" s="26" t="s">
        <v>6</v>
      </c>
    </row>
    <row r="34" spans="2:10" ht="15">
      <c r="B34" s="830">
        <v>869</v>
      </c>
      <c r="G34" s="754">
        <f>SUM(H34:J34)</f>
        <v>11.544999999999998</v>
      </c>
      <c r="H34" s="754">
        <f>+H35-H36-H37</f>
        <v>1.5649999999999995</v>
      </c>
      <c r="I34" s="754">
        <f>+I35-I36-I37</f>
        <v>3.7199999999999998</v>
      </c>
      <c r="J34" s="754">
        <f>+J35-J36-J37</f>
        <v>6.26</v>
      </c>
    </row>
    <row r="35" spans="2:10" ht="15">
      <c r="B35" s="26" t="s">
        <v>352</v>
      </c>
      <c r="G35" s="754">
        <f>SUM(H35:J35)</f>
        <v>28.23</v>
      </c>
      <c r="H35" s="26">
        <v>12.47</v>
      </c>
      <c r="I35" s="26">
        <v>5.92</v>
      </c>
      <c r="J35" s="26">
        <v>9.84</v>
      </c>
    </row>
    <row r="36" spans="2:11" ht="15">
      <c r="B36" s="26" t="s">
        <v>354</v>
      </c>
      <c r="G36" s="754">
        <f>SUM(H36:J36)</f>
        <v>6.415</v>
      </c>
      <c r="H36" s="26">
        <v>4.005</v>
      </c>
      <c r="I36" s="26">
        <v>2.1</v>
      </c>
      <c r="J36" s="26">
        <v>0.31</v>
      </c>
      <c r="K36" s="36"/>
    </row>
    <row r="37" spans="2:10" ht="15">
      <c r="B37" s="26" t="s">
        <v>353</v>
      </c>
      <c r="G37" s="754">
        <f>SUM(H37:J37)</f>
        <v>10.27</v>
      </c>
      <c r="H37" s="36">
        <v>6.9</v>
      </c>
      <c r="I37" s="36">
        <v>0.1</v>
      </c>
      <c r="J37" s="36">
        <v>3.27</v>
      </c>
    </row>
    <row r="38" spans="2:10" ht="15">
      <c r="B38" s="26" t="s">
        <v>355</v>
      </c>
      <c r="G38" s="754">
        <f>SUM(H38:J38)</f>
        <v>17.96</v>
      </c>
      <c r="H38" s="36">
        <f>+H34+H36</f>
        <v>5.569999999999999</v>
      </c>
      <c r="I38" s="36">
        <f>+I34+I36</f>
        <v>5.82</v>
      </c>
      <c r="J38" s="36">
        <f>+J34+J36</f>
        <v>6.569999999999999</v>
      </c>
    </row>
    <row r="39" ht="15">
      <c r="B39" s="26">
        <v>1333</v>
      </c>
    </row>
    <row r="44" spans="13:22" ht="15">
      <c r="M44" s="649"/>
      <c r="V44" s="26"/>
    </row>
    <row r="45" spans="13:22" ht="15">
      <c r="M45" s="649"/>
      <c r="V45" s="26"/>
    </row>
    <row r="46" spans="13:22" ht="15">
      <c r="M46" s="649"/>
      <c r="V46" s="26"/>
    </row>
    <row r="47" spans="13:22" ht="15">
      <c r="M47" s="649"/>
      <c r="V47" s="26"/>
    </row>
    <row r="48" spans="13:22" ht="15">
      <c r="M48" s="649"/>
      <c r="V48" s="26"/>
    </row>
    <row r="49" spans="13:22" ht="15">
      <c r="M49" s="649"/>
      <c r="V49" s="26"/>
    </row>
    <row r="50" spans="13:22" ht="15">
      <c r="M50" s="649"/>
      <c r="V50" s="26"/>
    </row>
  </sheetData>
  <sheetProtection/>
  <mergeCells count="22">
    <mergeCell ref="S4:S6"/>
    <mergeCell ref="T4:T6"/>
    <mergeCell ref="L5:L6"/>
    <mergeCell ref="M5:M6"/>
    <mergeCell ref="A20:B20"/>
    <mergeCell ref="B21:T21"/>
    <mergeCell ref="U4:U6"/>
    <mergeCell ref="V4:V6"/>
    <mergeCell ref="C5:C6"/>
    <mergeCell ref="D5:F5"/>
    <mergeCell ref="G5:G6"/>
    <mergeCell ref="H5:K5"/>
    <mergeCell ref="G4:L4"/>
    <mergeCell ref="M4:R4"/>
    <mergeCell ref="N5:Q5"/>
    <mergeCell ref="R5:R6"/>
    <mergeCell ref="A1:T1"/>
    <mergeCell ref="A2:T2"/>
    <mergeCell ref="A3:T3"/>
    <mergeCell ref="A4:A6"/>
    <mergeCell ref="B4:B6"/>
    <mergeCell ref="C4:F4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X38"/>
  <sheetViews>
    <sheetView zoomScale="85" zoomScaleNormal="85" zoomScalePageLayoutView="0" workbookViewId="0" topLeftCell="A1">
      <selection activeCell="M5" sqref="M5:M6"/>
    </sheetView>
  </sheetViews>
  <sheetFormatPr defaultColWidth="9.00390625" defaultRowHeight="14.25"/>
  <cols>
    <col min="1" max="1" width="3.625" style="26" customWidth="1"/>
    <col min="2" max="2" width="16.25390625" style="26" customWidth="1"/>
    <col min="3" max="3" width="6.75390625" style="163" customWidth="1"/>
    <col min="4" max="4" width="6.25390625" style="26" customWidth="1"/>
    <col min="5" max="5" width="6.50390625" style="26" customWidth="1"/>
    <col min="6" max="6" width="7.50390625" style="26" customWidth="1"/>
    <col min="7" max="7" width="7.375" style="26" customWidth="1"/>
    <col min="8" max="8" width="9.375" style="26" customWidth="1"/>
    <col min="9" max="9" width="7.75390625" style="163" customWidth="1"/>
    <col min="10" max="10" width="6.75390625" style="26" customWidth="1"/>
    <col min="11" max="11" width="6.00390625" style="26" customWidth="1"/>
    <col min="12" max="12" width="6.75390625" style="26" customWidth="1"/>
    <col min="13" max="13" width="7.75390625" style="26" customWidth="1"/>
    <col min="14" max="14" width="7.00390625" style="26" customWidth="1"/>
    <col min="15" max="15" width="5.75390625" style="163" customWidth="1"/>
    <col min="16" max="16" width="6.00390625" style="26" customWidth="1"/>
    <col min="17" max="17" width="5.75390625" style="26" customWidth="1"/>
    <col min="18" max="18" width="6.75390625" style="26" customWidth="1"/>
    <col min="19" max="19" width="7.25390625" style="26" customWidth="1"/>
    <col min="20" max="20" width="8.00390625" style="26" customWidth="1"/>
    <col min="21" max="21" width="7.375" style="26" customWidth="1"/>
    <col min="22" max="22" width="8.875" style="26" customWidth="1"/>
    <col min="23" max="23" width="10.625" style="26" hidden="1" customWidth="1"/>
    <col min="24" max="24" width="20.875" style="26" hidden="1" customWidth="1"/>
    <col min="25" max="26" width="0" style="26" hidden="1" customWidth="1"/>
    <col min="27" max="27" width="10.625" style="26" hidden="1" customWidth="1"/>
    <col min="28" max="16384" width="9.00390625" style="26" customWidth="1"/>
  </cols>
  <sheetData>
    <row r="1" spans="1:24" ht="30" customHeight="1">
      <c r="A1" s="856" t="s">
        <v>86</v>
      </c>
      <c r="B1" s="856"/>
      <c r="C1" s="856"/>
      <c r="D1" s="856"/>
      <c r="E1" s="856"/>
      <c r="F1" s="856"/>
      <c r="G1" s="856"/>
      <c r="H1" s="856"/>
      <c r="I1" s="856"/>
      <c r="J1" s="856"/>
      <c r="K1" s="856"/>
      <c r="L1" s="856"/>
      <c r="M1" s="856"/>
      <c r="N1" s="856"/>
      <c r="O1" s="856"/>
      <c r="P1" s="856"/>
      <c r="Q1" s="856"/>
      <c r="R1" s="856"/>
      <c r="S1" s="856"/>
      <c r="T1" s="856"/>
      <c r="U1" s="856"/>
      <c r="V1" s="856"/>
      <c r="W1" s="146"/>
      <c r="X1" s="146"/>
    </row>
    <row r="2" spans="1:24" s="148" customFormat="1" ht="22.5" customHeight="1">
      <c r="A2" s="857" t="s">
        <v>305</v>
      </c>
      <c r="B2" s="857"/>
      <c r="C2" s="857"/>
      <c r="D2" s="857"/>
      <c r="E2" s="857"/>
      <c r="F2" s="857"/>
      <c r="G2" s="857"/>
      <c r="H2" s="857"/>
      <c r="I2" s="857"/>
      <c r="J2" s="857"/>
      <c r="K2" s="857"/>
      <c r="L2" s="857"/>
      <c r="M2" s="857"/>
      <c r="N2" s="857"/>
      <c r="O2" s="857"/>
      <c r="P2" s="857"/>
      <c r="Q2" s="857"/>
      <c r="R2" s="857"/>
      <c r="S2" s="857"/>
      <c r="T2" s="857"/>
      <c r="U2" s="857"/>
      <c r="V2" s="857"/>
      <c r="W2" s="147"/>
      <c r="X2" s="147"/>
    </row>
    <row r="3" spans="1:24" s="148" customFormat="1" ht="22.5" customHeight="1">
      <c r="A3" s="858"/>
      <c r="B3" s="858"/>
      <c r="C3" s="858"/>
      <c r="D3" s="858"/>
      <c r="E3" s="858"/>
      <c r="F3" s="858"/>
      <c r="G3" s="858"/>
      <c r="H3" s="858"/>
      <c r="I3" s="858"/>
      <c r="J3" s="858"/>
      <c r="K3" s="858"/>
      <c r="L3" s="858"/>
      <c r="M3" s="858"/>
      <c r="N3" s="858"/>
      <c r="O3" s="858"/>
      <c r="P3" s="858"/>
      <c r="Q3" s="858"/>
      <c r="R3" s="858"/>
      <c r="S3" s="858"/>
      <c r="T3" s="858"/>
      <c r="U3" s="858"/>
      <c r="V3" s="858"/>
      <c r="W3" s="147"/>
      <c r="X3" s="147"/>
    </row>
    <row r="4" spans="1:23" s="151" customFormat="1" ht="73.5" customHeight="1">
      <c r="A4" s="859" t="s">
        <v>0</v>
      </c>
      <c r="B4" s="860" t="s">
        <v>181</v>
      </c>
      <c r="C4" s="845" t="s">
        <v>26</v>
      </c>
      <c r="D4" s="846"/>
      <c r="E4" s="846"/>
      <c r="F4" s="846"/>
      <c r="G4" s="846"/>
      <c r="H4" s="847"/>
      <c r="I4" s="845" t="s">
        <v>44</v>
      </c>
      <c r="J4" s="846"/>
      <c r="K4" s="846"/>
      <c r="L4" s="846"/>
      <c r="M4" s="846"/>
      <c r="N4" s="847"/>
      <c r="O4" s="848" t="s">
        <v>45</v>
      </c>
      <c r="P4" s="849"/>
      <c r="Q4" s="849"/>
      <c r="R4" s="849"/>
      <c r="S4" s="849"/>
      <c r="T4" s="850"/>
      <c r="U4" s="866" t="s">
        <v>43</v>
      </c>
      <c r="V4" s="859" t="s">
        <v>14</v>
      </c>
      <c r="W4" s="150"/>
    </row>
    <row r="5" spans="1:24" s="151" customFormat="1" ht="39" customHeight="1">
      <c r="A5" s="859"/>
      <c r="B5" s="860"/>
      <c r="C5" s="860" t="s">
        <v>38</v>
      </c>
      <c r="D5" s="869" t="s">
        <v>21</v>
      </c>
      <c r="E5" s="869"/>
      <c r="F5" s="869"/>
      <c r="G5" s="869"/>
      <c r="H5" s="854" t="s">
        <v>202</v>
      </c>
      <c r="I5" s="860" t="s">
        <v>38</v>
      </c>
      <c r="J5" s="851" t="s">
        <v>21</v>
      </c>
      <c r="K5" s="852"/>
      <c r="L5" s="852"/>
      <c r="M5" s="853"/>
      <c r="N5" s="854" t="s">
        <v>37</v>
      </c>
      <c r="O5" s="860" t="s">
        <v>38</v>
      </c>
      <c r="P5" s="851" t="s">
        <v>21</v>
      </c>
      <c r="Q5" s="852"/>
      <c r="R5" s="852"/>
      <c r="S5" s="853"/>
      <c r="T5" s="854" t="s">
        <v>37</v>
      </c>
      <c r="U5" s="866"/>
      <c r="V5" s="859"/>
      <c r="W5" s="152"/>
      <c r="X5" s="153"/>
    </row>
    <row r="6" spans="1:24" s="151" customFormat="1" ht="73.5" customHeight="1">
      <c r="A6" s="859"/>
      <c r="B6" s="860"/>
      <c r="C6" s="860"/>
      <c r="D6" s="149" t="s">
        <v>39</v>
      </c>
      <c r="E6" s="149" t="s">
        <v>40</v>
      </c>
      <c r="F6" s="149" t="s">
        <v>41</v>
      </c>
      <c r="G6" s="149" t="s">
        <v>42</v>
      </c>
      <c r="H6" s="855"/>
      <c r="I6" s="860"/>
      <c r="J6" s="149" t="s">
        <v>39</v>
      </c>
      <c r="K6" s="149" t="s">
        <v>40</v>
      </c>
      <c r="L6" s="149" t="s">
        <v>41</v>
      </c>
      <c r="M6" s="149" t="s">
        <v>42</v>
      </c>
      <c r="N6" s="855"/>
      <c r="O6" s="860"/>
      <c r="P6" s="149" t="s">
        <v>39</v>
      </c>
      <c r="Q6" s="149" t="s">
        <v>40</v>
      </c>
      <c r="R6" s="149" t="s">
        <v>41</v>
      </c>
      <c r="S6" s="149" t="s">
        <v>42</v>
      </c>
      <c r="T6" s="855"/>
      <c r="U6" s="866"/>
      <c r="V6" s="859"/>
      <c r="W6" s="155" t="s">
        <v>28</v>
      </c>
      <c r="X6" s="153"/>
    </row>
    <row r="7" spans="1:23" s="68" customFormat="1" ht="24" customHeight="1">
      <c r="A7" s="124">
        <v>1</v>
      </c>
      <c r="B7" s="208" t="s">
        <v>131</v>
      </c>
      <c r="C7" s="172">
        <f>SUM(D7:G7)</f>
        <v>2.5</v>
      </c>
      <c r="D7" s="209"/>
      <c r="E7" s="209">
        <v>2.5</v>
      </c>
      <c r="F7" s="209"/>
      <c r="G7" s="125"/>
      <c r="H7" s="129"/>
      <c r="I7" s="172">
        <f>SUM(J7:M7)</f>
        <v>0</v>
      </c>
      <c r="J7" s="125"/>
      <c r="K7" s="125"/>
      <c r="L7" s="125"/>
      <c r="M7" s="125"/>
      <c r="N7" s="129"/>
      <c r="O7" s="172">
        <f>SUM(P7:S7)</f>
        <v>0.8</v>
      </c>
      <c r="P7" s="206"/>
      <c r="Q7" s="125">
        <v>0.8</v>
      </c>
      <c r="R7" s="125"/>
      <c r="S7" s="125"/>
      <c r="T7" s="131"/>
      <c r="U7" s="132">
        <f>+O7/C7</f>
        <v>0.32</v>
      </c>
      <c r="V7" s="70"/>
      <c r="W7" s="71" t="s">
        <v>27</v>
      </c>
    </row>
    <row r="8" spans="1:23" ht="23.25" customHeight="1">
      <c r="A8" s="210">
        <v>2</v>
      </c>
      <c r="B8" s="211" t="s">
        <v>132</v>
      </c>
      <c r="C8" s="212">
        <f aca="true" t="shared" si="0" ref="C8:C34">SUM(D8:G8)</f>
        <v>2</v>
      </c>
      <c r="D8" s="157"/>
      <c r="E8" s="157">
        <v>1</v>
      </c>
      <c r="F8" s="157">
        <v>1</v>
      </c>
      <c r="G8" s="158"/>
      <c r="H8" s="73"/>
      <c r="I8" s="212">
        <f aca="true" t="shared" si="1" ref="I8:I34">SUM(J8:M8)</f>
        <v>0</v>
      </c>
      <c r="J8" s="40"/>
      <c r="K8" s="40"/>
      <c r="L8" s="40"/>
      <c r="M8" s="40"/>
      <c r="N8" s="63"/>
      <c r="O8" s="212">
        <f aca="true" t="shared" si="2" ref="O8:O34">SUM(P8:S8)</f>
        <v>0.7</v>
      </c>
      <c r="P8" s="40">
        <v>0.5</v>
      </c>
      <c r="Q8" s="40">
        <v>0.2</v>
      </c>
      <c r="R8" s="40"/>
      <c r="S8" s="40"/>
      <c r="T8" s="73">
        <v>35</v>
      </c>
      <c r="U8" s="202">
        <f aca="true" t="shared" si="3" ref="U8:U33">+O8/C8</f>
        <v>0.35</v>
      </c>
      <c r="V8" s="41"/>
      <c r="W8" s="26" t="s">
        <v>29</v>
      </c>
    </row>
    <row r="9" spans="1:23" ht="24.75" customHeight="1">
      <c r="A9" s="210">
        <v>3</v>
      </c>
      <c r="B9" s="211" t="s">
        <v>133</v>
      </c>
      <c r="C9" s="212">
        <f t="shared" si="0"/>
        <v>0</v>
      </c>
      <c r="D9" s="157"/>
      <c r="E9" s="157"/>
      <c r="F9" s="157">
        <v>0</v>
      </c>
      <c r="G9" s="158"/>
      <c r="H9" s="73"/>
      <c r="I9" s="212">
        <f t="shared" si="1"/>
        <v>0</v>
      </c>
      <c r="J9" s="40"/>
      <c r="K9" s="40"/>
      <c r="L9" s="42"/>
      <c r="M9" s="40"/>
      <c r="N9" s="63"/>
      <c r="O9" s="212">
        <f t="shared" si="2"/>
        <v>0.2</v>
      </c>
      <c r="P9" s="40"/>
      <c r="Q9" s="40"/>
      <c r="R9" s="42">
        <v>0.2</v>
      </c>
      <c r="S9" s="40"/>
      <c r="T9" s="75"/>
      <c r="U9" s="202"/>
      <c r="V9" s="41"/>
      <c r="W9" s="26" t="s">
        <v>31</v>
      </c>
    </row>
    <row r="10" spans="1:22" ht="21.75" customHeight="1">
      <c r="A10" s="210">
        <v>4</v>
      </c>
      <c r="B10" s="211" t="s">
        <v>134</v>
      </c>
      <c r="C10" s="212">
        <f t="shared" si="0"/>
        <v>2.5</v>
      </c>
      <c r="D10" s="157">
        <v>0.5</v>
      </c>
      <c r="E10" s="157">
        <v>1</v>
      </c>
      <c r="F10" s="157">
        <v>1</v>
      </c>
      <c r="G10" s="158"/>
      <c r="H10" s="73"/>
      <c r="I10" s="212">
        <f t="shared" si="1"/>
        <v>0</v>
      </c>
      <c r="J10" s="40"/>
      <c r="K10" s="40"/>
      <c r="L10" s="40"/>
      <c r="M10" s="40"/>
      <c r="N10" s="63"/>
      <c r="O10" s="212">
        <f t="shared" si="2"/>
        <v>0</v>
      </c>
      <c r="P10" s="40"/>
      <c r="Q10" s="40"/>
      <c r="R10" s="40"/>
      <c r="S10" s="40"/>
      <c r="T10" s="63"/>
      <c r="U10" s="202">
        <f t="shared" si="3"/>
        <v>0</v>
      </c>
      <c r="V10" s="41"/>
    </row>
    <row r="11" spans="1:22" s="68" customFormat="1" ht="21.75" customHeight="1">
      <c r="A11" s="210">
        <v>5</v>
      </c>
      <c r="B11" s="211" t="s">
        <v>135</v>
      </c>
      <c r="C11" s="212">
        <f t="shared" si="0"/>
        <v>3</v>
      </c>
      <c r="D11" s="157">
        <v>2</v>
      </c>
      <c r="E11" s="157">
        <v>0</v>
      </c>
      <c r="F11" s="157">
        <v>1</v>
      </c>
      <c r="G11" s="158"/>
      <c r="H11" s="73"/>
      <c r="I11" s="212">
        <f t="shared" si="1"/>
        <v>0</v>
      </c>
      <c r="J11" s="65"/>
      <c r="K11" s="65"/>
      <c r="L11" s="65"/>
      <c r="M11" s="72"/>
      <c r="N11" s="159"/>
      <c r="O11" s="212">
        <f t="shared" si="2"/>
        <v>0</v>
      </c>
      <c r="P11" s="65"/>
      <c r="Q11" s="65"/>
      <c r="R11" s="65">
        <v>0</v>
      </c>
      <c r="S11" s="72"/>
      <c r="T11" s="159"/>
      <c r="U11" s="202">
        <f t="shared" si="3"/>
        <v>0</v>
      </c>
      <c r="V11" s="67"/>
    </row>
    <row r="12" spans="1:22" ht="21.75" customHeight="1">
      <c r="A12" s="210">
        <v>6</v>
      </c>
      <c r="B12" s="211" t="s">
        <v>136</v>
      </c>
      <c r="C12" s="212">
        <f t="shared" si="0"/>
        <v>3</v>
      </c>
      <c r="D12" s="157">
        <v>1</v>
      </c>
      <c r="E12" s="157">
        <v>1</v>
      </c>
      <c r="F12" s="157">
        <v>1</v>
      </c>
      <c r="G12" s="158"/>
      <c r="H12" s="73"/>
      <c r="I12" s="212">
        <f t="shared" si="1"/>
        <v>0</v>
      </c>
      <c r="J12" s="65"/>
      <c r="K12" s="65"/>
      <c r="L12" s="65"/>
      <c r="M12" s="65"/>
      <c r="N12" s="73"/>
      <c r="O12" s="212">
        <f t="shared" si="2"/>
        <v>0.5</v>
      </c>
      <c r="P12" s="65"/>
      <c r="Q12" s="65"/>
      <c r="R12" s="65">
        <v>0.5</v>
      </c>
      <c r="S12" s="65"/>
      <c r="T12" s="73">
        <v>30</v>
      </c>
      <c r="U12" s="202">
        <f t="shared" si="3"/>
        <v>0.16666666666666666</v>
      </c>
      <c r="V12" s="41"/>
    </row>
    <row r="13" spans="1:22" s="68" customFormat="1" ht="21.75" customHeight="1">
      <c r="A13" s="210">
        <v>7</v>
      </c>
      <c r="B13" s="211" t="s">
        <v>137</v>
      </c>
      <c r="C13" s="212">
        <f t="shared" si="0"/>
        <v>4</v>
      </c>
      <c r="D13" s="157">
        <v>2</v>
      </c>
      <c r="E13" s="157"/>
      <c r="F13" s="157">
        <v>2</v>
      </c>
      <c r="G13" s="158"/>
      <c r="H13" s="73"/>
      <c r="I13" s="212">
        <f t="shared" si="1"/>
        <v>0</v>
      </c>
      <c r="J13" s="65"/>
      <c r="K13" s="65"/>
      <c r="L13" s="65"/>
      <c r="M13" s="65"/>
      <c r="N13" s="63"/>
      <c r="O13" s="212">
        <f t="shared" si="2"/>
        <v>0</v>
      </c>
      <c r="P13" s="65"/>
      <c r="Q13" s="65"/>
      <c r="R13" s="65"/>
      <c r="S13" s="65"/>
      <c r="T13" s="75">
        <v>100</v>
      </c>
      <c r="U13" s="202">
        <f t="shared" si="3"/>
        <v>0</v>
      </c>
      <c r="V13" s="67"/>
    </row>
    <row r="14" spans="1:22" s="68" customFormat="1" ht="21.75" customHeight="1">
      <c r="A14" s="210">
        <v>8</v>
      </c>
      <c r="B14" s="211" t="s">
        <v>138</v>
      </c>
      <c r="C14" s="212">
        <f t="shared" si="0"/>
        <v>4</v>
      </c>
      <c r="D14" s="157">
        <v>1</v>
      </c>
      <c r="E14" s="157">
        <v>1</v>
      </c>
      <c r="F14" s="157">
        <v>2</v>
      </c>
      <c r="G14" s="158"/>
      <c r="H14" s="73"/>
      <c r="I14" s="212">
        <f t="shared" si="1"/>
        <v>0</v>
      </c>
      <c r="J14" s="65"/>
      <c r="K14" s="65"/>
      <c r="L14" s="65"/>
      <c r="M14" s="65"/>
      <c r="N14" s="63"/>
      <c r="O14" s="212">
        <f t="shared" si="2"/>
        <v>0</v>
      </c>
      <c r="P14" s="65"/>
      <c r="Q14" s="65"/>
      <c r="R14" s="65"/>
      <c r="S14" s="65"/>
      <c r="T14" s="75"/>
      <c r="U14" s="202">
        <f t="shared" si="3"/>
        <v>0</v>
      </c>
      <c r="V14" s="67"/>
    </row>
    <row r="15" spans="1:22" s="68" customFormat="1" ht="21.75" customHeight="1">
      <c r="A15" s="210">
        <v>9</v>
      </c>
      <c r="B15" s="211" t="s">
        <v>139</v>
      </c>
      <c r="C15" s="212">
        <f t="shared" si="0"/>
        <v>1.5</v>
      </c>
      <c r="D15" s="157"/>
      <c r="E15" s="157">
        <v>1</v>
      </c>
      <c r="F15" s="157">
        <v>0.5</v>
      </c>
      <c r="G15" s="158"/>
      <c r="H15" s="73"/>
      <c r="I15" s="212">
        <f t="shared" si="1"/>
        <v>0</v>
      </c>
      <c r="J15" s="65"/>
      <c r="K15" s="65"/>
      <c r="L15" s="65"/>
      <c r="M15" s="65"/>
      <c r="N15" s="63"/>
      <c r="O15" s="212">
        <f t="shared" si="2"/>
        <v>0</v>
      </c>
      <c r="P15" s="65"/>
      <c r="Q15" s="65"/>
      <c r="R15" s="65"/>
      <c r="S15" s="65"/>
      <c r="T15" s="75"/>
      <c r="U15" s="202">
        <f t="shared" si="3"/>
        <v>0</v>
      </c>
      <c r="V15" s="67"/>
    </row>
    <row r="16" spans="1:22" s="68" customFormat="1" ht="21.75" customHeight="1">
      <c r="A16" s="210">
        <v>10</v>
      </c>
      <c r="B16" s="211" t="s">
        <v>140</v>
      </c>
      <c r="C16" s="212">
        <f t="shared" si="0"/>
        <v>2</v>
      </c>
      <c r="D16" s="157">
        <v>0.5</v>
      </c>
      <c r="E16" s="157">
        <v>1</v>
      </c>
      <c r="F16" s="157">
        <v>0.5</v>
      </c>
      <c r="G16" s="158"/>
      <c r="H16" s="73"/>
      <c r="I16" s="212">
        <f t="shared" si="1"/>
        <v>1</v>
      </c>
      <c r="J16" s="65">
        <v>0.7</v>
      </c>
      <c r="K16" s="65"/>
      <c r="L16" s="65">
        <v>0.3</v>
      </c>
      <c r="M16" s="65"/>
      <c r="N16" s="63"/>
      <c r="O16" s="212">
        <f t="shared" si="2"/>
        <v>1.9</v>
      </c>
      <c r="P16" s="65">
        <v>1.5</v>
      </c>
      <c r="Q16" s="65"/>
      <c r="R16" s="65">
        <v>0.4</v>
      </c>
      <c r="S16" s="65"/>
      <c r="T16" s="75"/>
      <c r="U16" s="202">
        <f t="shared" si="3"/>
        <v>0.95</v>
      </c>
      <c r="V16" s="67"/>
    </row>
    <row r="17" spans="1:22" s="68" customFormat="1" ht="21.75" customHeight="1">
      <c r="A17" s="210">
        <v>11</v>
      </c>
      <c r="B17" s="211" t="s">
        <v>141</v>
      </c>
      <c r="C17" s="212">
        <f t="shared" si="0"/>
        <v>4</v>
      </c>
      <c r="D17" s="157">
        <v>0.5</v>
      </c>
      <c r="E17" s="157">
        <v>2</v>
      </c>
      <c r="F17" s="157">
        <v>1.5</v>
      </c>
      <c r="G17" s="158"/>
      <c r="H17" s="73"/>
      <c r="I17" s="212">
        <f t="shared" si="1"/>
        <v>0.7</v>
      </c>
      <c r="J17" s="65"/>
      <c r="K17" s="65"/>
      <c r="L17" s="65">
        <v>0.7</v>
      </c>
      <c r="M17" s="65"/>
      <c r="N17" s="63"/>
      <c r="O17" s="212">
        <f t="shared" si="2"/>
        <v>0.8</v>
      </c>
      <c r="P17" s="65"/>
      <c r="Q17" s="65"/>
      <c r="R17" s="65">
        <v>0.8</v>
      </c>
      <c r="S17" s="65"/>
      <c r="T17" s="75"/>
      <c r="U17" s="202">
        <f t="shared" si="3"/>
        <v>0.2</v>
      </c>
      <c r="V17" s="67"/>
    </row>
    <row r="18" spans="1:22" s="68" customFormat="1" ht="21.75" customHeight="1">
      <c r="A18" s="210">
        <v>12</v>
      </c>
      <c r="B18" s="211" t="s">
        <v>142</v>
      </c>
      <c r="C18" s="212">
        <f t="shared" si="0"/>
        <v>2</v>
      </c>
      <c r="D18" s="157">
        <v>1</v>
      </c>
      <c r="E18" s="157">
        <v>1</v>
      </c>
      <c r="F18" s="157"/>
      <c r="G18" s="158"/>
      <c r="H18" s="73"/>
      <c r="I18" s="212">
        <f t="shared" si="1"/>
        <v>0</v>
      </c>
      <c r="J18" s="65"/>
      <c r="K18" s="65"/>
      <c r="L18" s="65"/>
      <c r="M18" s="65"/>
      <c r="N18" s="63"/>
      <c r="O18" s="212">
        <f t="shared" si="2"/>
        <v>0</v>
      </c>
      <c r="P18" s="65"/>
      <c r="Q18" s="65"/>
      <c r="R18" s="65"/>
      <c r="S18" s="65"/>
      <c r="T18" s="75"/>
      <c r="U18" s="202">
        <f t="shared" si="3"/>
        <v>0</v>
      </c>
      <c r="V18" s="67"/>
    </row>
    <row r="19" spans="1:22" s="68" customFormat="1" ht="21.75" customHeight="1">
      <c r="A19" s="210">
        <v>13</v>
      </c>
      <c r="B19" s="211" t="s">
        <v>143</v>
      </c>
      <c r="C19" s="212">
        <f t="shared" si="0"/>
        <v>2.5</v>
      </c>
      <c r="D19" s="157">
        <v>0.5</v>
      </c>
      <c r="E19" s="157">
        <v>1</v>
      </c>
      <c r="F19" s="157">
        <v>1</v>
      </c>
      <c r="G19" s="158"/>
      <c r="H19" s="73"/>
      <c r="I19" s="212">
        <f t="shared" si="1"/>
        <v>0</v>
      </c>
      <c r="J19" s="65"/>
      <c r="K19" s="65"/>
      <c r="L19" s="65"/>
      <c r="M19" s="65"/>
      <c r="N19" s="63"/>
      <c r="O19" s="212">
        <f t="shared" si="2"/>
        <v>0.3</v>
      </c>
      <c r="P19" s="65"/>
      <c r="Q19" s="65">
        <v>0.3</v>
      </c>
      <c r="R19" s="65"/>
      <c r="S19" s="65"/>
      <c r="T19" s="75"/>
      <c r="U19" s="202">
        <f t="shared" si="3"/>
        <v>0.12</v>
      </c>
      <c r="V19" s="67"/>
    </row>
    <row r="20" spans="1:22" s="68" customFormat="1" ht="21.75" customHeight="1">
      <c r="A20" s="210">
        <v>14</v>
      </c>
      <c r="B20" s="211" t="s">
        <v>144</v>
      </c>
      <c r="C20" s="212">
        <f t="shared" si="0"/>
        <v>2.5</v>
      </c>
      <c r="D20" s="157">
        <v>1</v>
      </c>
      <c r="E20" s="157">
        <v>0.5</v>
      </c>
      <c r="F20" s="157">
        <v>1</v>
      </c>
      <c r="G20" s="158"/>
      <c r="H20" s="73"/>
      <c r="I20" s="212">
        <f t="shared" si="1"/>
        <v>0</v>
      </c>
      <c r="J20" s="65"/>
      <c r="K20" s="65"/>
      <c r="L20" s="65"/>
      <c r="M20" s="65"/>
      <c r="N20" s="63"/>
      <c r="O20" s="212">
        <f t="shared" si="2"/>
        <v>1.5999999999999999</v>
      </c>
      <c r="P20" s="65">
        <v>0.2</v>
      </c>
      <c r="Q20" s="65">
        <v>1.2</v>
      </c>
      <c r="R20" s="65">
        <v>0.2</v>
      </c>
      <c r="S20" s="65"/>
      <c r="T20" s="75">
        <v>70</v>
      </c>
      <c r="U20" s="202">
        <f t="shared" si="3"/>
        <v>0.6399999999999999</v>
      </c>
      <c r="V20" s="67"/>
    </row>
    <row r="21" spans="1:22" s="68" customFormat="1" ht="21.75" customHeight="1">
      <c r="A21" s="210">
        <v>15</v>
      </c>
      <c r="B21" s="211" t="s">
        <v>145</v>
      </c>
      <c r="C21" s="212">
        <f t="shared" si="0"/>
        <v>1.5</v>
      </c>
      <c r="D21" s="157">
        <v>0.5</v>
      </c>
      <c r="E21" s="157">
        <v>0</v>
      </c>
      <c r="F21" s="157">
        <v>1</v>
      </c>
      <c r="G21" s="158"/>
      <c r="H21" s="73"/>
      <c r="I21" s="212">
        <f t="shared" si="1"/>
        <v>0</v>
      </c>
      <c r="J21" s="65"/>
      <c r="K21" s="65"/>
      <c r="L21" s="65"/>
      <c r="M21" s="65"/>
      <c r="N21" s="63"/>
      <c r="O21" s="212">
        <f t="shared" si="2"/>
        <v>0</v>
      </c>
      <c r="P21" s="65"/>
      <c r="Q21" s="65"/>
      <c r="R21" s="65"/>
      <c r="S21" s="65"/>
      <c r="T21" s="75"/>
      <c r="U21" s="202">
        <f t="shared" si="3"/>
        <v>0</v>
      </c>
      <c r="V21" s="67"/>
    </row>
    <row r="22" spans="1:22" s="68" customFormat="1" ht="21.75" customHeight="1">
      <c r="A22" s="210">
        <v>16</v>
      </c>
      <c r="B22" s="211" t="s">
        <v>146</v>
      </c>
      <c r="C22" s="212">
        <f t="shared" si="0"/>
        <v>0.5</v>
      </c>
      <c r="D22" s="157"/>
      <c r="E22" s="157"/>
      <c r="F22" s="157">
        <v>0.5</v>
      </c>
      <c r="G22" s="158"/>
      <c r="H22" s="73"/>
      <c r="I22" s="212">
        <f t="shared" si="1"/>
        <v>0</v>
      </c>
      <c r="J22" s="65"/>
      <c r="K22" s="65"/>
      <c r="L22" s="65"/>
      <c r="M22" s="65"/>
      <c r="N22" s="63"/>
      <c r="O22" s="212">
        <f t="shared" si="2"/>
        <v>0</v>
      </c>
      <c r="P22" s="65"/>
      <c r="Q22" s="65"/>
      <c r="R22" s="65"/>
      <c r="S22" s="65"/>
      <c r="T22" s="75"/>
      <c r="U22" s="202">
        <f t="shared" si="3"/>
        <v>0</v>
      </c>
      <c r="V22" s="67"/>
    </row>
    <row r="23" spans="1:22" s="68" customFormat="1" ht="21.75" customHeight="1">
      <c r="A23" s="210">
        <v>17</v>
      </c>
      <c r="B23" s="211" t="s">
        <v>147</v>
      </c>
      <c r="C23" s="212">
        <f t="shared" si="0"/>
        <v>1</v>
      </c>
      <c r="D23" s="157"/>
      <c r="E23" s="157"/>
      <c r="F23" s="157">
        <v>1</v>
      </c>
      <c r="G23" s="158"/>
      <c r="H23" s="73"/>
      <c r="I23" s="212">
        <f t="shared" si="1"/>
        <v>0</v>
      </c>
      <c r="J23" s="65"/>
      <c r="K23" s="65"/>
      <c r="L23" s="65"/>
      <c r="M23" s="65"/>
      <c r="N23" s="63"/>
      <c r="O23" s="212">
        <f t="shared" si="2"/>
        <v>1</v>
      </c>
      <c r="P23" s="65"/>
      <c r="Q23" s="65"/>
      <c r="R23" s="65">
        <v>1</v>
      </c>
      <c r="S23" s="65"/>
      <c r="T23" s="75"/>
      <c r="U23" s="202">
        <f t="shared" si="3"/>
        <v>1</v>
      </c>
      <c r="V23" s="67"/>
    </row>
    <row r="24" spans="1:22" s="68" customFormat="1" ht="21.75" customHeight="1">
      <c r="A24" s="210">
        <v>18</v>
      </c>
      <c r="B24" s="211" t="s">
        <v>148</v>
      </c>
      <c r="C24" s="212">
        <f t="shared" si="0"/>
        <v>2</v>
      </c>
      <c r="D24" s="157">
        <v>1</v>
      </c>
      <c r="E24" s="157"/>
      <c r="F24" s="157">
        <v>1</v>
      </c>
      <c r="G24" s="158"/>
      <c r="H24" s="73"/>
      <c r="I24" s="212">
        <f t="shared" si="1"/>
        <v>0</v>
      </c>
      <c r="J24" s="65"/>
      <c r="K24" s="65"/>
      <c r="L24" s="65"/>
      <c r="M24" s="65"/>
      <c r="N24" s="63"/>
      <c r="O24" s="212">
        <f t="shared" si="2"/>
        <v>0</v>
      </c>
      <c r="P24" s="65"/>
      <c r="Q24" s="65"/>
      <c r="R24" s="65"/>
      <c r="S24" s="65"/>
      <c r="T24" s="75"/>
      <c r="U24" s="202">
        <f t="shared" si="3"/>
        <v>0</v>
      </c>
      <c r="V24" s="67"/>
    </row>
    <row r="25" spans="1:22" s="68" customFormat="1" ht="21.75" customHeight="1">
      <c r="A25" s="210">
        <v>19</v>
      </c>
      <c r="B25" s="211" t="s">
        <v>149</v>
      </c>
      <c r="C25" s="212">
        <f t="shared" si="0"/>
        <v>1.5</v>
      </c>
      <c r="D25" s="157"/>
      <c r="E25" s="157">
        <v>0.5</v>
      </c>
      <c r="F25" s="157">
        <v>1</v>
      </c>
      <c r="G25" s="158"/>
      <c r="H25" s="73"/>
      <c r="I25" s="212">
        <f t="shared" si="1"/>
        <v>0</v>
      </c>
      <c r="J25" s="65"/>
      <c r="K25" s="65"/>
      <c r="L25" s="65"/>
      <c r="M25" s="65"/>
      <c r="N25" s="63"/>
      <c r="O25" s="212">
        <f t="shared" si="2"/>
        <v>0</v>
      </c>
      <c r="P25" s="65"/>
      <c r="Q25" s="65"/>
      <c r="R25" s="65"/>
      <c r="S25" s="65"/>
      <c r="T25" s="75"/>
      <c r="U25" s="202">
        <f t="shared" si="3"/>
        <v>0</v>
      </c>
      <c r="V25" s="67"/>
    </row>
    <row r="26" spans="1:22" s="68" customFormat="1" ht="21.75" customHeight="1">
      <c r="A26" s="210">
        <v>20</v>
      </c>
      <c r="B26" s="211" t="s">
        <v>150</v>
      </c>
      <c r="C26" s="212">
        <f t="shared" si="0"/>
        <v>1</v>
      </c>
      <c r="D26" s="157"/>
      <c r="E26" s="157"/>
      <c r="F26" s="157">
        <v>1</v>
      </c>
      <c r="G26" s="158"/>
      <c r="H26" s="73"/>
      <c r="I26" s="212">
        <f t="shared" si="1"/>
        <v>0</v>
      </c>
      <c r="J26" s="65"/>
      <c r="K26" s="65"/>
      <c r="L26" s="65"/>
      <c r="M26" s="65"/>
      <c r="N26" s="63"/>
      <c r="O26" s="212">
        <f t="shared" si="2"/>
        <v>0.9</v>
      </c>
      <c r="P26" s="65"/>
      <c r="Q26" s="65"/>
      <c r="R26" s="65">
        <v>0.9</v>
      </c>
      <c r="S26" s="65"/>
      <c r="T26" s="75"/>
      <c r="U26" s="202">
        <f t="shared" si="3"/>
        <v>0.9</v>
      </c>
      <c r="V26" s="67" t="s">
        <v>162</v>
      </c>
    </row>
    <row r="27" spans="1:22" s="68" customFormat="1" ht="21.75" customHeight="1">
      <c r="A27" s="210">
        <v>21</v>
      </c>
      <c r="B27" s="211" t="s">
        <v>151</v>
      </c>
      <c r="C27" s="212">
        <f t="shared" si="0"/>
        <v>2</v>
      </c>
      <c r="D27" s="157">
        <v>0.5</v>
      </c>
      <c r="E27" s="157">
        <v>0.5</v>
      </c>
      <c r="F27" s="157">
        <v>1</v>
      </c>
      <c r="G27" s="158"/>
      <c r="H27" s="73"/>
      <c r="I27" s="212">
        <f t="shared" si="1"/>
        <v>0</v>
      </c>
      <c r="J27" s="65"/>
      <c r="K27" s="65"/>
      <c r="L27" s="65"/>
      <c r="M27" s="65"/>
      <c r="N27" s="63"/>
      <c r="O27" s="212">
        <f t="shared" si="2"/>
        <v>0.85</v>
      </c>
      <c r="P27" s="65"/>
      <c r="Q27" s="65">
        <v>0.1</v>
      </c>
      <c r="R27" s="65">
        <v>0.75</v>
      </c>
      <c r="S27" s="65"/>
      <c r="T27" s="75">
        <v>75</v>
      </c>
      <c r="U27" s="202">
        <f t="shared" si="3"/>
        <v>0.425</v>
      </c>
      <c r="V27" s="67"/>
    </row>
    <row r="28" spans="1:22" s="68" customFormat="1" ht="21.75" customHeight="1">
      <c r="A28" s="210">
        <v>22</v>
      </c>
      <c r="B28" s="211" t="s">
        <v>152</v>
      </c>
      <c r="C28" s="212">
        <f t="shared" si="0"/>
        <v>2</v>
      </c>
      <c r="D28" s="157">
        <v>1</v>
      </c>
      <c r="E28" s="157"/>
      <c r="F28" s="157">
        <v>1</v>
      </c>
      <c r="G28" s="158"/>
      <c r="H28" s="73"/>
      <c r="I28" s="212">
        <f t="shared" si="1"/>
        <v>0.5</v>
      </c>
      <c r="J28" s="65"/>
      <c r="K28" s="65"/>
      <c r="L28" s="65">
        <v>0.5</v>
      </c>
      <c r="M28" s="65"/>
      <c r="N28" s="63"/>
      <c r="O28" s="212">
        <f t="shared" si="2"/>
        <v>1.4</v>
      </c>
      <c r="P28" s="65">
        <v>0.9</v>
      </c>
      <c r="Q28" s="65"/>
      <c r="R28" s="65">
        <v>0.5</v>
      </c>
      <c r="S28" s="65"/>
      <c r="T28" s="75"/>
      <c r="U28" s="202">
        <f t="shared" si="3"/>
        <v>0.7</v>
      </c>
      <c r="V28" s="67"/>
    </row>
    <row r="29" spans="1:22" s="68" customFormat="1" ht="21.75" customHeight="1">
      <c r="A29" s="210">
        <v>23</v>
      </c>
      <c r="B29" s="211" t="s">
        <v>153</v>
      </c>
      <c r="C29" s="212">
        <f t="shared" si="0"/>
        <v>3</v>
      </c>
      <c r="D29" s="157">
        <v>1</v>
      </c>
      <c r="E29" s="157">
        <v>1</v>
      </c>
      <c r="F29" s="157">
        <v>1</v>
      </c>
      <c r="G29" s="158"/>
      <c r="H29" s="73"/>
      <c r="I29" s="212">
        <f t="shared" si="1"/>
        <v>0</v>
      </c>
      <c r="J29" s="65"/>
      <c r="K29" s="65"/>
      <c r="L29" s="65"/>
      <c r="M29" s="65"/>
      <c r="N29" s="63"/>
      <c r="O29" s="212">
        <f t="shared" si="2"/>
        <v>0</v>
      </c>
      <c r="P29" s="65"/>
      <c r="Q29" s="65"/>
      <c r="R29" s="65"/>
      <c r="S29" s="65"/>
      <c r="T29" s="75"/>
      <c r="U29" s="202">
        <f t="shared" si="3"/>
        <v>0</v>
      </c>
      <c r="V29" s="67"/>
    </row>
    <row r="30" spans="1:22" s="68" customFormat="1" ht="21.75" customHeight="1">
      <c r="A30" s="210">
        <v>24</v>
      </c>
      <c r="B30" s="211" t="s">
        <v>154</v>
      </c>
      <c r="C30" s="212">
        <f t="shared" si="0"/>
        <v>3</v>
      </c>
      <c r="D30" s="157">
        <v>0.5</v>
      </c>
      <c r="E30" s="157">
        <v>1</v>
      </c>
      <c r="F30" s="157">
        <v>1.5</v>
      </c>
      <c r="G30" s="158"/>
      <c r="H30" s="73"/>
      <c r="I30" s="212">
        <f t="shared" si="1"/>
        <v>0</v>
      </c>
      <c r="J30" s="65"/>
      <c r="K30" s="65"/>
      <c r="L30" s="65"/>
      <c r="M30" s="65"/>
      <c r="N30" s="63"/>
      <c r="O30" s="212">
        <f t="shared" si="2"/>
        <v>0.1</v>
      </c>
      <c r="P30" s="65"/>
      <c r="Q30" s="65">
        <v>0.1</v>
      </c>
      <c r="R30" s="65"/>
      <c r="S30" s="65"/>
      <c r="T30" s="75"/>
      <c r="U30" s="202">
        <f t="shared" si="3"/>
        <v>0.03333333333333333</v>
      </c>
      <c r="V30" s="67"/>
    </row>
    <row r="31" spans="1:22" s="68" customFormat="1" ht="21.75" customHeight="1">
      <c r="A31" s="210">
        <v>25</v>
      </c>
      <c r="B31" s="211" t="s">
        <v>155</v>
      </c>
      <c r="C31" s="212">
        <f t="shared" si="0"/>
        <v>1.5</v>
      </c>
      <c r="D31" s="157">
        <v>0.5</v>
      </c>
      <c r="E31" s="157"/>
      <c r="F31" s="157">
        <v>1</v>
      </c>
      <c r="G31" s="158"/>
      <c r="H31" s="73"/>
      <c r="I31" s="212">
        <f t="shared" si="1"/>
        <v>0.25</v>
      </c>
      <c r="J31" s="65"/>
      <c r="K31" s="65"/>
      <c r="L31" s="65">
        <v>0.25</v>
      </c>
      <c r="M31" s="65"/>
      <c r="N31" s="63"/>
      <c r="O31" s="212">
        <f t="shared" si="2"/>
        <v>0.25</v>
      </c>
      <c r="P31" s="65"/>
      <c r="Q31" s="65"/>
      <c r="R31" s="65">
        <v>0.25</v>
      </c>
      <c r="S31" s="65"/>
      <c r="T31" s="75">
        <v>30</v>
      </c>
      <c r="U31" s="202">
        <f t="shared" si="3"/>
        <v>0.16666666666666666</v>
      </c>
      <c r="V31" s="67"/>
    </row>
    <row r="32" spans="1:22" s="68" customFormat="1" ht="21.75" customHeight="1">
      <c r="A32" s="210">
        <v>26</v>
      </c>
      <c r="B32" s="211" t="s">
        <v>156</v>
      </c>
      <c r="C32" s="212">
        <f t="shared" si="0"/>
        <v>3</v>
      </c>
      <c r="D32" s="157">
        <v>1</v>
      </c>
      <c r="E32" s="157">
        <v>1</v>
      </c>
      <c r="F32" s="157">
        <v>1</v>
      </c>
      <c r="G32" s="158"/>
      <c r="H32" s="73"/>
      <c r="I32" s="212">
        <f t="shared" si="1"/>
        <v>0.22</v>
      </c>
      <c r="J32" s="65"/>
      <c r="K32" s="65"/>
      <c r="L32" s="65">
        <v>0.22</v>
      </c>
      <c r="M32" s="65"/>
      <c r="N32" s="63"/>
      <c r="O32" s="212">
        <f t="shared" si="2"/>
        <v>0.32</v>
      </c>
      <c r="P32" s="65"/>
      <c r="Q32" s="65"/>
      <c r="R32" s="65">
        <v>0.32</v>
      </c>
      <c r="S32" s="65"/>
      <c r="T32" s="75"/>
      <c r="U32" s="202">
        <f t="shared" si="3"/>
        <v>0.10666666666666667</v>
      </c>
      <c r="V32" s="67"/>
    </row>
    <row r="33" spans="1:22" s="68" customFormat="1" ht="21.75" customHeight="1">
      <c r="A33" s="210">
        <v>27</v>
      </c>
      <c r="B33" s="211" t="s">
        <v>157</v>
      </c>
      <c r="C33" s="212">
        <f t="shared" si="0"/>
        <v>2.5</v>
      </c>
      <c r="D33" s="157">
        <v>1</v>
      </c>
      <c r="E33" s="157">
        <v>1</v>
      </c>
      <c r="F33" s="157">
        <v>0.5</v>
      </c>
      <c r="G33" s="158"/>
      <c r="H33" s="73"/>
      <c r="I33" s="212">
        <f t="shared" si="1"/>
        <v>0</v>
      </c>
      <c r="J33" s="65"/>
      <c r="K33" s="65"/>
      <c r="L33" s="65"/>
      <c r="M33" s="65"/>
      <c r="N33" s="63"/>
      <c r="O33" s="212">
        <f t="shared" si="2"/>
        <v>0.9</v>
      </c>
      <c r="P33" s="65"/>
      <c r="Q33" s="65"/>
      <c r="R33" s="65">
        <v>0.9</v>
      </c>
      <c r="S33" s="65"/>
      <c r="T33" s="75">
        <v>115</v>
      </c>
      <c r="U33" s="202">
        <f t="shared" si="3"/>
        <v>0.36</v>
      </c>
      <c r="V33" s="67"/>
    </row>
    <row r="34" spans="1:22" s="68" customFormat="1" ht="19.5" customHeight="1">
      <c r="A34" s="290"/>
      <c r="B34" s="291" t="s">
        <v>161</v>
      </c>
      <c r="C34" s="292">
        <f t="shared" si="0"/>
        <v>0</v>
      </c>
      <c r="D34" s="293"/>
      <c r="E34" s="293"/>
      <c r="F34" s="293">
        <v>0</v>
      </c>
      <c r="G34" s="294"/>
      <c r="H34" s="295"/>
      <c r="I34" s="292">
        <f t="shared" si="1"/>
        <v>0</v>
      </c>
      <c r="J34" s="296"/>
      <c r="K34" s="296"/>
      <c r="L34" s="296"/>
      <c r="M34" s="296"/>
      <c r="N34" s="295"/>
      <c r="O34" s="292">
        <f t="shared" si="2"/>
        <v>0</v>
      </c>
      <c r="P34" s="296"/>
      <c r="Q34" s="296"/>
      <c r="R34" s="296"/>
      <c r="S34" s="296"/>
      <c r="T34" s="295"/>
      <c r="U34" s="297"/>
      <c r="V34" s="205"/>
    </row>
    <row r="35" spans="1:22" ht="21.75" customHeight="1">
      <c r="A35" s="913" t="s">
        <v>23</v>
      </c>
      <c r="B35" s="913"/>
      <c r="C35" s="52">
        <f aca="true" t="shared" si="4" ref="C35:L35">+SUM(C7:C34)</f>
        <v>60</v>
      </c>
      <c r="D35" s="53">
        <f t="shared" si="4"/>
        <v>17</v>
      </c>
      <c r="E35" s="53">
        <f t="shared" si="4"/>
        <v>18</v>
      </c>
      <c r="F35" s="53">
        <f t="shared" si="4"/>
        <v>25</v>
      </c>
      <c r="G35" s="53">
        <f t="shared" si="4"/>
        <v>0</v>
      </c>
      <c r="H35" s="298">
        <f t="shared" si="4"/>
        <v>0</v>
      </c>
      <c r="I35" s="299">
        <f t="shared" si="4"/>
        <v>2.6700000000000004</v>
      </c>
      <c r="J35" s="300">
        <f t="shared" si="4"/>
        <v>0.7</v>
      </c>
      <c r="K35" s="300">
        <f t="shared" si="4"/>
        <v>0</v>
      </c>
      <c r="L35" s="53">
        <f t="shared" si="4"/>
        <v>1.97</v>
      </c>
      <c r="M35" s="53"/>
      <c r="N35" s="301">
        <f>+SUM(N7:N34)</f>
        <v>0</v>
      </c>
      <c r="O35" s="53">
        <f>+SUM(O7:O34)</f>
        <v>12.52</v>
      </c>
      <c r="P35" s="300">
        <f>+SUM(P7:P34)</f>
        <v>3.1</v>
      </c>
      <c r="Q35" s="53">
        <f>+SUM(Q7:Q34)</f>
        <v>2.7</v>
      </c>
      <c r="R35" s="53">
        <f>+SUM(R7:R34)</f>
        <v>6.720000000000001</v>
      </c>
      <c r="S35" s="53"/>
      <c r="T35" s="301">
        <f>+SUM(T7:T34)</f>
        <v>455</v>
      </c>
      <c r="U35" s="161">
        <f>+O35/C35</f>
        <v>0.20866666666666667</v>
      </c>
      <c r="V35" s="302"/>
    </row>
    <row r="36" spans="2:22" ht="15">
      <c r="B36" s="170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</row>
    <row r="37" spans="2:21" ht="15">
      <c r="B37" s="162"/>
      <c r="N37" s="164"/>
      <c r="Q37" s="36"/>
      <c r="T37" s="165"/>
      <c r="U37" s="166"/>
    </row>
    <row r="38" spans="3:20" ht="15">
      <c r="C38" s="167"/>
      <c r="J38" s="36"/>
      <c r="O38" s="168"/>
      <c r="T38" s="169"/>
    </row>
  </sheetData>
  <sheetProtection/>
  <mergeCells count="20">
    <mergeCell ref="T5:T6"/>
    <mergeCell ref="A1:V1"/>
    <mergeCell ref="A2:V2"/>
    <mergeCell ref="A3:V3"/>
    <mergeCell ref="C4:H4"/>
    <mergeCell ref="I4:N4"/>
    <mergeCell ref="O4:T4"/>
    <mergeCell ref="U4:U6"/>
    <mergeCell ref="V4:V6"/>
    <mergeCell ref="C5:C6"/>
    <mergeCell ref="A35:B35"/>
    <mergeCell ref="N5:N6"/>
    <mergeCell ref="O5:O6"/>
    <mergeCell ref="P5:S5"/>
    <mergeCell ref="D5:G5"/>
    <mergeCell ref="A4:A6"/>
    <mergeCell ref="B4:B6"/>
    <mergeCell ref="H5:H6"/>
    <mergeCell ref="I5:I6"/>
    <mergeCell ref="J5:M5"/>
  </mergeCells>
  <printOptions/>
  <pageMargins left="0.2" right="0.2" top="0.52" bottom="0.35" header="0.21" footer="0.2"/>
  <pageSetup horizontalDpi="600" verticalDpi="6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X32"/>
  <sheetViews>
    <sheetView zoomScale="70" zoomScaleNormal="70" zoomScalePageLayoutView="0" workbookViewId="0" topLeftCell="A1">
      <selection activeCell="M5" sqref="M5:M6"/>
    </sheetView>
  </sheetViews>
  <sheetFormatPr defaultColWidth="9.00390625" defaultRowHeight="14.25"/>
  <cols>
    <col min="1" max="1" width="3.625" style="26" customWidth="1"/>
    <col min="2" max="2" width="16.25390625" style="26" customWidth="1"/>
    <col min="3" max="3" width="6.75390625" style="163" customWidth="1"/>
    <col min="4" max="4" width="6.25390625" style="26" customWidth="1"/>
    <col min="5" max="5" width="6.50390625" style="26" customWidth="1"/>
    <col min="6" max="6" width="7.50390625" style="26" customWidth="1"/>
    <col min="7" max="7" width="7.375" style="26" customWidth="1"/>
    <col min="8" max="8" width="9.375" style="26" customWidth="1"/>
    <col min="9" max="9" width="7.75390625" style="163" customWidth="1"/>
    <col min="10" max="10" width="6.75390625" style="26" customWidth="1"/>
    <col min="11" max="11" width="6.00390625" style="26" customWidth="1"/>
    <col min="12" max="12" width="6.75390625" style="26" customWidth="1"/>
    <col min="13" max="13" width="7.75390625" style="26" customWidth="1"/>
    <col min="14" max="14" width="7.00390625" style="26" customWidth="1"/>
    <col min="15" max="15" width="5.75390625" style="163" customWidth="1"/>
    <col min="16" max="16" width="6.00390625" style="26" customWidth="1"/>
    <col min="17" max="17" width="5.75390625" style="26" customWidth="1"/>
    <col min="18" max="18" width="6.75390625" style="26" customWidth="1"/>
    <col min="19" max="19" width="7.25390625" style="26" customWidth="1"/>
    <col min="20" max="20" width="8.00390625" style="26" customWidth="1"/>
    <col min="21" max="21" width="7.375" style="26" customWidth="1"/>
    <col min="22" max="22" width="6.25390625" style="26" customWidth="1"/>
    <col min="23" max="23" width="10.625" style="26" hidden="1" customWidth="1"/>
    <col min="24" max="24" width="20.875" style="26" hidden="1" customWidth="1"/>
    <col min="25" max="26" width="0" style="26" hidden="1" customWidth="1"/>
    <col min="27" max="27" width="10.625" style="26" hidden="1" customWidth="1"/>
    <col min="28" max="16384" width="9.00390625" style="26" customWidth="1"/>
  </cols>
  <sheetData>
    <row r="1" spans="1:24" ht="30" customHeight="1">
      <c r="A1" s="856" t="s">
        <v>89</v>
      </c>
      <c r="B1" s="856"/>
      <c r="C1" s="856"/>
      <c r="D1" s="856"/>
      <c r="E1" s="856"/>
      <c r="F1" s="856"/>
      <c r="G1" s="856"/>
      <c r="H1" s="856"/>
      <c r="I1" s="856"/>
      <c r="J1" s="856"/>
      <c r="K1" s="856"/>
      <c r="L1" s="856"/>
      <c r="M1" s="856"/>
      <c r="N1" s="856"/>
      <c r="O1" s="856"/>
      <c r="P1" s="856"/>
      <c r="Q1" s="856"/>
      <c r="R1" s="856"/>
      <c r="S1" s="856"/>
      <c r="T1" s="856"/>
      <c r="U1" s="856"/>
      <c r="V1" s="856"/>
      <c r="W1" s="146"/>
      <c r="X1" s="146"/>
    </row>
    <row r="2" spans="1:24" s="148" customFormat="1" ht="22.5" customHeight="1">
      <c r="A2" s="857" t="s">
        <v>305</v>
      </c>
      <c r="B2" s="857"/>
      <c r="C2" s="857"/>
      <c r="D2" s="857"/>
      <c r="E2" s="857"/>
      <c r="F2" s="857"/>
      <c r="G2" s="857"/>
      <c r="H2" s="857"/>
      <c r="I2" s="857"/>
      <c r="J2" s="857"/>
      <c r="K2" s="857"/>
      <c r="L2" s="857"/>
      <c r="M2" s="857"/>
      <c r="N2" s="857"/>
      <c r="O2" s="857"/>
      <c r="P2" s="857"/>
      <c r="Q2" s="857"/>
      <c r="R2" s="857"/>
      <c r="S2" s="857"/>
      <c r="T2" s="857"/>
      <c r="U2" s="857"/>
      <c r="V2" s="857"/>
      <c r="W2" s="147"/>
      <c r="X2" s="147"/>
    </row>
    <row r="3" spans="1:24" s="148" customFormat="1" ht="22.5" customHeight="1">
      <c r="A3" s="858"/>
      <c r="B3" s="858"/>
      <c r="C3" s="858"/>
      <c r="D3" s="858"/>
      <c r="E3" s="858"/>
      <c r="F3" s="858"/>
      <c r="G3" s="858"/>
      <c r="H3" s="858"/>
      <c r="I3" s="858"/>
      <c r="J3" s="858"/>
      <c r="K3" s="858"/>
      <c r="L3" s="858"/>
      <c r="M3" s="858"/>
      <c r="N3" s="858"/>
      <c r="O3" s="858"/>
      <c r="P3" s="858"/>
      <c r="Q3" s="858"/>
      <c r="R3" s="858"/>
      <c r="S3" s="858"/>
      <c r="T3" s="858"/>
      <c r="U3" s="858"/>
      <c r="V3" s="858"/>
      <c r="W3" s="147"/>
      <c r="X3" s="147"/>
    </row>
    <row r="4" spans="1:23" s="151" customFormat="1" ht="99.75" customHeight="1">
      <c r="A4" s="923" t="s">
        <v>0</v>
      </c>
      <c r="B4" s="861" t="s">
        <v>160</v>
      </c>
      <c r="C4" s="916" t="s">
        <v>26</v>
      </c>
      <c r="D4" s="917"/>
      <c r="E4" s="917"/>
      <c r="F4" s="917"/>
      <c r="G4" s="917"/>
      <c r="H4" s="918"/>
      <c r="I4" s="916" t="s">
        <v>44</v>
      </c>
      <c r="J4" s="917"/>
      <c r="K4" s="917"/>
      <c r="L4" s="917"/>
      <c r="M4" s="917"/>
      <c r="N4" s="918"/>
      <c r="O4" s="919" t="s">
        <v>45</v>
      </c>
      <c r="P4" s="920"/>
      <c r="Q4" s="920"/>
      <c r="R4" s="920"/>
      <c r="S4" s="920"/>
      <c r="T4" s="921"/>
      <c r="U4" s="922" t="s">
        <v>43</v>
      </c>
      <c r="V4" s="923" t="s">
        <v>14</v>
      </c>
      <c r="W4" s="150"/>
    </row>
    <row r="5" spans="1:24" s="151" customFormat="1" ht="39" customHeight="1">
      <c r="A5" s="923"/>
      <c r="B5" s="861"/>
      <c r="C5" s="860" t="s">
        <v>38</v>
      </c>
      <c r="D5" s="869" t="s">
        <v>21</v>
      </c>
      <c r="E5" s="869"/>
      <c r="F5" s="869"/>
      <c r="G5" s="869"/>
      <c r="H5" s="854" t="s">
        <v>201</v>
      </c>
      <c r="I5" s="860" t="s">
        <v>38</v>
      </c>
      <c r="J5" s="851" t="s">
        <v>21</v>
      </c>
      <c r="K5" s="852"/>
      <c r="L5" s="852"/>
      <c r="M5" s="853"/>
      <c r="N5" s="854" t="s">
        <v>37</v>
      </c>
      <c r="O5" s="860" t="s">
        <v>38</v>
      </c>
      <c r="P5" s="851" t="s">
        <v>21</v>
      </c>
      <c r="Q5" s="852"/>
      <c r="R5" s="852"/>
      <c r="S5" s="853"/>
      <c r="T5" s="854" t="s">
        <v>37</v>
      </c>
      <c r="U5" s="922"/>
      <c r="V5" s="923"/>
      <c r="W5" s="152"/>
      <c r="X5" s="153"/>
    </row>
    <row r="6" spans="1:24" s="151" customFormat="1" ht="73.5" customHeight="1">
      <c r="A6" s="923"/>
      <c r="B6" s="861"/>
      <c r="C6" s="860"/>
      <c r="D6" s="149" t="s">
        <v>39</v>
      </c>
      <c r="E6" s="149" t="s">
        <v>40</v>
      </c>
      <c r="F6" s="149" t="s">
        <v>41</v>
      </c>
      <c r="G6" s="149" t="s">
        <v>42</v>
      </c>
      <c r="H6" s="855"/>
      <c r="I6" s="860"/>
      <c r="J6" s="149" t="s">
        <v>39</v>
      </c>
      <c r="K6" s="149" t="s">
        <v>40</v>
      </c>
      <c r="L6" s="149" t="s">
        <v>41</v>
      </c>
      <c r="M6" s="149" t="s">
        <v>42</v>
      </c>
      <c r="N6" s="855"/>
      <c r="O6" s="860"/>
      <c r="P6" s="149" t="s">
        <v>39</v>
      </c>
      <c r="Q6" s="149" t="s">
        <v>40</v>
      </c>
      <c r="R6" s="149" t="s">
        <v>41</v>
      </c>
      <c r="S6" s="149" t="s">
        <v>42</v>
      </c>
      <c r="T6" s="855"/>
      <c r="U6" s="922"/>
      <c r="V6" s="923"/>
      <c r="W6" s="155" t="s">
        <v>28</v>
      </c>
      <c r="X6" s="153"/>
    </row>
    <row r="7" spans="1:23" s="68" customFormat="1" ht="24" customHeight="1">
      <c r="A7" s="124">
        <v>1</v>
      </c>
      <c r="B7" s="208" t="s">
        <v>65</v>
      </c>
      <c r="C7" s="172">
        <f>SUM(D7:G7)</f>
        <v>5</v>
      </c>
      <c r="D7" s="209">
        <v>2.7</v>
      </c>
      <c r="E7" s="209">
        <v>0.8</v>
      </c>
      <c r="F7" s="209">
        <v>1.5</v>
      </c>
      <c r="G7" s="125"/>
      <c r="H7" s="129"/>
      <c r="I7" s="172">
        <f>SUM(J7:M7)</f>
        <v>1.8</v>
      </c>
      <c r="J7" s="125">
        <v>1.1</v>
      </c>
      <c r="K7" s="125">
        <v>0.2</v>
      </c>
      <c r="L7" s="125">
        <v>0.5</v>
      </c>
      <c r="M7" s="125"/>
      <c r="N7" s="129">
        <v>235</v>
      </c>
      <c r="O7" s="172">
        <f>SUM(P7:S7)</f>
        <v>3.3</v>
      </c>
      <c r="P7" s="125">
        <v>2</v>
      </c>
      <c r="Q7" s="125">
        <v>0.5</v>
      </c>
      <c r="R7" s="125">
        <v>0.8</v>
      </c>
      <c r="S7" s="125"/>
      <c r="T7" s="131">
        <v>545</v>
      </c>
      <c r="U7" s="132">
        <f>+O7/C7</f>
        <v>0.6599999999999999</v>
      </c>
      <c r="V7" s="70"/>
      <c r="W7" s="71"/>
    </row>
    <row r="8" spans="1:23" s="68" customFormat="1" ht="24" customHeight="1">
      <c r="A8" s="210">
        <v>2</v>
      </c>
      <c r="B8" s="211" t="s">
        <v>66</v>
      </c>
      <c r="C8" s="212">
        <f aca="true" t="shared" si="0" ref="C8:C28">SUM(D8:G8)</f>
        <v>7.319999999999999</v>
      </c>
      <c r="D8" s="156">
        <v>0.43</v>
      </c>
      <c r="E8" s="156">
        <v>4.56</v>
      </c>
      <c r="F8" s="156">
        <v>1.5</v>
      </c>
      <c r="G8" s="213">
        <v>0.83</v>
      </c>
      <c r="H8" s="214"/>
      <c r="I8" s="212">
        <f aca="true" t="shared" si="1" ref="I8:I28">SUM(J8:M8)</f>
        <v>1.3</v>
      </c>
      <c r="J8" s="213"/>
      <c r="K8" s="213">
        <v>0.5</v>
      </c>
      <c r="L8" s="213">
        <v>0.6</v>
      </c>
      <c r="M8" s="213">
        <v>0.2</v>
      </c>
      <c r="N8" s="214">
        <v>175</v>
      </c>
      <c r="O8" s="212">
        <f aca="true" t="shared" si="2" ref="O8:O28">SUM(P8:S8)</f>
        <v>5.4</v>
      </c>
      <c r="P8" s="213">
        <v>1.4</v>
      </c>
      <c r="Q8" s="213">
        <v>3</v>
      </c>
      <c r="R8" s="213">
        <v>1</v>
      </c>
      <c r="S8" s="213"/>
      <c r="T8" s="215">
        <v>502</v>
      </c>
      <c r="U8" s="202">
        <f aca="true" t="shared" si="3" ref="U8:U28">+O8/C8</f>
        <v>0.737704918032787</v>
      </c>
      <c r="V8" s="67"/>
      <c r="W8" s="71"/>
    </row>
    <row r="9" spans="1:22" ht="24.75" customHeight="1">
      <c r="A9" s="210">
        <v>3</v>
      </c>
      <c r="B9" s="211" t="s">
        <v>67</v>
      </c>
      <c r="C9" s="212">
        <f t="shared" si="0"/>
        <v>11.37</v>
      </c>
      <c r="D9" s="157">
        <v>0.2</v>
      </c>
      <c r="E9" s="157">
        <v>8.07</v>
      </c>
      <c r="F9" s="157">
        <v>2.6</v>
      </c>
      <c r="G9" s="158">
        <v>0.5</v>
      </c>
      <c r="H9" s="73"/>
      <c r="I9" s="212">
        <f t="shared" si="1"/>
        <v>2.82</v>
      </c>
      <c r="J9" s="40"/>
      <c r="K9" s="40">
        <v>2.82</v>
      </c>
      <c r="L9" s="42"/>
      <c r="M9" s="40"/>
      <c r="N9" s="63">
        <v>435.4</v>
      </c>
      <c r="O9" s="212">
        <f t="shared" si="2"/>
        <v>7.32</v>
      </c>
      <c r="P9" s="40">
        <v>0.2</v>
      </c>
      <c r="Q9" s="40">
        <v>6.62</v>
      </c>
      <c r="R9" s="42"/>
      <c r="S9" s="40">
        <v>0.5</v>
      </c>
      <c r="T9" s="75">
        <v>1280.4</v>
      </c>
      <c r="U9" s="202">
        <f t="shared" si="3"/>
        <v>0.6437994722955146</v>
      </c>
      <c r="V9" s="41"/>
    </row>
    <row r="10" spans="1:22" ht="21.75" customHeight="1">
      <c r="A10" s="210">
        <v>4</v>
      </c>
      <c r="B10" s="211" t="s">
        <v>68</v>
      </c>
      <c r="C10" s="212">
        <f t="shared" si="0"/>
        <v>0.84</v>
      </c>
      <c r="D10" s="157"/>
      <c r="E10" s="157">
        <v>0.84</v>
      </c>
      <c r="F10" s="157"/>
      <c r="G10" s="158"/>
      <c r="H10" s="73"/>
      <c r="I10" s="212">
        <f t="shared" si="1"/>
        <v>0</v>
      </c>
      <c r="J10" s="40"/>
      <c r="K10" s="40"/>
      <c r="L10" s="40"/>
      <c r="M10" s="40"/>
      <c r="N10" s="63"/>
      <c r="O10" s="212">
        <f t="shared" si="2"/>
        <v>0.05</v>
      </c>
      <c r="P10" s="40"/>
      <c r="Q10" s="40">
        <v>0.05</v>
      </c>
      <c r="R10" s="40"/>
      <c r="S10" s="40"/>
      <c r="T10" s="63">
        <v>40</v>
      </c>
      <c r="U10" s="202">
        <f t="shared" si="3"/>
        <v>0.05952380952380953</v>
      </c>
      <c r="V10" s="41"/>
    </row>
    <row r="11" spans="1:22" ht="21.75" customHeight="1">
      <c r="A11" s="210">
        <v>5</v>
      </c>
      <c r="B11" s="211" t="s">
        <v>69</v>
      </c>
      <c r="C11" s="212">
        <f t="shared" si="0"/>
        <v>2.51</v>
      </c>
      <c r="D11" s="157">
        <v>2</v>
      </c>
      <c r="E11" s="157">
        <v>0.51</v>
      </c>
      <c r="F11" s="157"/>
      <c r="G11" s="158"/>
      <c r="H11" s="73"/>
      <c r="I11" s="212">
        <f t="shared" si="1"/>
        <v>0.08</v>
      </c>
      <c r="J11" s="65">
        <v>0.08</v>
      </c>
      <c r="K11" s="65"/>
      <c r="L11" s="65"/>
      <c r="M11" s="65"/>
      <c r="N11" s="73">
        <v>103</v>
      </c>
      <c r="O11" s="212">
        <f t="shared" si="2"/>
        <v>0.7</v>
      </c>
      <c r="P11" s="65">
        <v>0.7</v>
      </c>
      <c r="Q11" s="65"/>
      <c r="R11" s="65"/>
      <c r="S11" s="65"/>
      <c r="T11" s="73">
        <v>165</v>
      </c>
      <c r="U11" s="202">
        <f t="shared" si="3"/>
        <v>0.27888446215139445</v>
      </c>
      <c r="V11" s="41"/>
    </row>
    <row r="12" spans="1:22" s="68" customFormat="1" ht="21.75" customHeight="1">
      <c r="A12" s="210">
        <v>6</v>
      </c>
      <c r="B12" s="211" t="s">
        <v>70</v>
      </c>
      <c r="C12" s="212">
        <f t="shared" si="0"/>
        <v>2</v>
      </c>
      <c r="D12" s="157">
        <v>2</v>
      </c>
      <c r="E12" s="157"/>
      <c r="F12" s="157"/>
      <c r="G12" s="158"/>
      <c r="H12" s="73"/>
      <c r="I12" s="212">
        <f t="shared" si="1"/>
        <v>0.3</v>
      </c>
      <c r="J12" s="65">
        <v>0.3</v>
      </c>
      <c r="K12" s="65"/>
      <c r="L12" s="65"/>
      <c r="M12" s="65"/>
      <c r="N12" s="63"/>
      <c r="O12" s="212">
        <f t="shared" si="2"/>
        <v>0.4</v>
      </c>
      <c r="P12" s="65">
        <v>0.4</v>
      </c>
      <c r="Q12" s="65"/>
      <c r="R12" s="65"/>
      <c r="S12" s="65"/>
      <c r="T12" s="75">
        <v>171</v>
      </c>
      <c r="U12" s="202">
        <f t="shared" si="3"/>
        <v>0.2</v>
      </c>
      <c r="V12" s="67"/>
    </row>
    <row r="13" spans="1:22" s="68" customFormat="1" ht="21.75" customHeight="1">
      <c r="A13" s="210">
        <v>7</v>
      </c>
      <c r="B13" s="211" t="s">
        <v>71</v>
      </c>
      <c r="C13" s="212">
        <f t="shared" si="0"/>
        <v>2</v>
      </c>
      <c r="D13" s="157">
        <v>1</v>
      </c>
      <c r="E13" s="157">
        <v>1</v>
      </c>
      <c r="F13" s="157"/>
      <c r="G13" s="158"/>
      <c r="H13" s="73"/>
      <c r="I13" s="212">
        <f t="shared" si="1"/>
        <v>0</v>
      </c>
      <c r="J13" s="65"/>
      <c r="K13" s="65"/>
      <c r="L13" s="65"/>
      <c r="M13" s="65"/>
      <c r="N13" s="63"/>
      <c r="O13" s="212">
        <f t="shared" si="2"/>
        <v>0.6</v>
      </c>
      <c r="P13" s="65">
        <v>0.1</v>
      </c>
      <c r="Q13" s="65">
        <v>0.5</v>
      </c>
      <c r="R13" s="65"/>
      <c r="S13" s="65"/>
      <c r="T13" s="75">
        <v>59</v>
      </c>
      <c r="U13" s="202">
        <f t="shared" si="3"/>
        <v>0.3</v>
      </c>
      <c r="V13" s="67"/>
    </row>
    <row r="14" spans="1:22" s="68" customFormat="1" ht="21.75" customHeight="1">
      <c r="A14" s="210">
        <v>8</v>
      </c>
      <c r="B14" s="211" t="s">
        <v>72</v>
      </c>
      <c r="C14" s="212">
        <f t="shared" si="0"/>
        <v>2.95</v>
      </c>
      <c r="D14" s="157"/>
      <c r="E14" s="157">
        <v>2.95</v>
      </c>
      <c r="F14" s="157"/>
      <c r="G14" s="158"/>
      <c r="H14" s="73"/>
      <c r="I14" s="212">
        <f t="shared" si="1"/>
        <v>0</v>
      </c>
      <c r="J14" s="65"/>
      <c r="K14" s="65"/>
      <c r="L14" s="65"/>
      <c r="M14" s="65"/>
      <c r="N14" s="63"/>
      <c r="O14" s="212">
        <f t="shared" si="2"/>
        <v>1.8</v>
      </c>
      <c r="P14" s="65"/>
      <c r="Q14" s="65">
        <v>1.8</v>
      </c>
      <c r="R14" s="65"/>
      <c r="S14" s="65"/>
      <c r="T14" s="75">
        <v>75</v>
      </c>
      <c r="U14" s="202">
        <f t="shared" si="3"/>
        <v>0.6101694915254237</v>
      </c>
      <c r="V14" s="67"/>
    </row>
    <row r="15" spans="1:22" s="68" customFormat="1" ht="21.75" customHeight="1">
      <c r="A15" s="210">
        <v>9</v>
      </c>
      <c r="B15" s="211" t="s">
        <v>73</v>
      </c>
      <c r="C15" s="212">
        <f t="shared" si="0"/>
        <v>3.48</v>
      </c>
      <c r="D15" s="157"/>
      <c r="E15" s="157">
        <v>3.48</v>
      </c>
      <c r="F15" s="157"/>
      <c r="G15" s="158"/>
      <c r="H15" s="73"/>
      <c r="I15" s="212">
        <f t="shared" si="1"/>
        <v>0</v>
      </c>
      <c r="J15" s="65"/>
      <c r="K15" s="65"/>
      <c r="L15" s="65"/>
      <c r="M15" s="65"/>
      <c r="N15" s="63"/>
      <c r="O15" s="212">
        <f t="shared" si="2"/>
        <v>0</v>
      </c>
      <c r="P15" s="65"/>
      <c r="Q15" s="65"/>
      <c r="R15" s="65"/>
      <c r="S15" s="65"/>
      <c r="T15" s="75"/>
      <c r="U15" s="202">
        <f t="shared" si="3"/>
        <v>0</v>
      </c>
      <c r="V15" s="67"/>
    </row>
    <row r="16" spans="1:22" s="68" customFormat="1" ht="21.75" customHeight="1">
      <c r="A16" s="210">
        <v>10</v>
      </c>
      <c r="B16" s="211" t="s">
        <v>74</v>
      </c>
      <c r="C16" s="212">
        <f t="shared" si="0"/>
        <v>2.5</v>
      </c>
      <c r="D16" s="157"/>
      <c r="E16" s="157">
        <v>2.5</v>
      </c>
      <c r="F16" s="157"/>
      <c r="G16" s="158"/>
      <c r="H16" s="73"/>
      <c r="I16" s="212">
        <f t="shared" si="1"/>
        <v>0</v>
      </c>
      <c r="J16" s="65"/>
      <c r="K16" s="65"/>
      <c r="L16" s="65"/>
      <c r="M16" s="65"/>
      <c r="N16" s="63">
        <v>139</v>
      </c>
      <c r="O16" s="212">
        <f t="shared" si="2"/>
        <v>0.2</v>
      </c>
      <c r="P16" s="65"/>
      <c r="Q16" s="65">
        <v>0.2</v>
      </c>
      <c r="R16" s="65"/>
      <c r="S16" s="65"/>
      <c r="T16" s="75">
        <v>165</v>
      </c>
      <c r="U16" s="202">
        <f t="shared" si="3"/>
        <v>0.08</v>
      </c>
      <c r="V16" s="67"/>
    </row>
    <row r="17" spans="1:22" s="68" customFormat="1" ht="21.75" customHeight="1">
      <c r="A17" s="210">
        <v>11</v>
      </c>
      <c r="B17" s="211" t="s">
        <v>75</v>
      </c>
      <c r="C17" s="212">
        <f t="shared" si="0"/>
        <v>5.01</v>
      </c>
      <c r="D17" s="157">
        <v>1.55</v>
      </c>
      <c r="E17" s="157">
        <v>2.26</v>
      </c>
      <c r="F17" s="157"/>
      <c r="G17" s="158">
        <v>1.2</v>
      </c>
      <c r="H17" s="73"/>
      <c r="I17" s="212">
        <f t="shared" si="1"/>
        <v>0.6</v>
      </c>
      <c r="J17" s="65">
        <v>0.15</v>
      </c>
      <c r="K17" s="65">
        <v>0.45</v>
      </c>
      <c r="L17" s="65"/>
      <c r="M17" s="65"/>
      <c r="N17" s="63">
        <v>85</v>
      </c>
      <c r="O17" s="212">
        <f t="shared" si="2"/>
        <v>0.6</v>
      </c>
      <c r="P17" s="65">
        <v>0.15</v>
      </c>
      <c r="Q17" s="65">
        <v>0.45</v>
      </c>
      <c r="R17" s="65"/>
      <c r="S17" s="65"/>
      <c r="T17" s="75">
        <v>129</v>
      </c>
      <c r="U17" s="202">
        <f t="shared" si="3"/>
        <v>0.11976047904191617</v>
      </c>
      <c r="V17" s="67"/>
    </row>
    <row r="18" spans="1:22" s="68" customFormat="1" ht="21.75" customHeight="1">
      <c r="A18" s="210">
        <v>12</v>
      </c>
      <c r="B18" s="211" t="s">
        <v>76</v>
      </c>
      <c r="C18" s="212">
        <f t="shared" si="0"/>
        <v>7.09</v>
      </c>
      <c r="D18" s="157">
        <v>2.6</v>
      </c>
      <c r="E18" s="157">
        <v>4.49</v>
      </c>
      <c r="F18" s="157"/>
      <c r="G18" s="158"/>
      <c r="H18" s="73"/>
      <c r="I18" s="212">
        <f t="shared" si="1"/>
        <v>0.4</v>
      </c>
      <c r="J18" s="65"/>
      <c r="K18" s="65">
        <v>0.4</v>
      </c>
      <c r="L18" s="65"/>
      <c r="M18" s="65"/>
      <c r="N18" s="63">
        <v>219</v>
      </c>
      <c r="O18" s="212">
        <f t="shared" si="2"/>
        <v>3</v>
      </c>
      <c r="P18" s="65">
        <v>1.2</v>
      </c>
      <c r="Q18" s="65">
        <v>1.8</v>
      </c>
      <c r="R18" s="65"/>
      <c r="S18" s="65"/>
      <c r="T18" s="75">
        <v>650</v>
      </c>
      <c r="U18" s="202">
        <f t="shared" si="3"/>
        <v>0.4231311706629055</v>
      </c>
      <c r="V18" s="67"/>
    </row>
    <row r="19" spans="1:22" s="68" customFormat="1" ht="21.75" customHeight="1">
      <c r="A19" s="210">
        <v>13</v>
      </c>
      <c r="B19" s="211" t="s">
        <v>77</v>
      </c>
      <c r="C19" s="212">
        <f t="shared" si="0"/>
        <v>7.989999999999999</v>
      </c>
      <c r="D19" s="157">
        <v>3.35</v>
      </c>
      <c r="E19" s="157">
        <v>4.42</v>
      </c>
      <c r="F19" s="157">
        <v>0.22</v>
      </c>
      <c r="G19" s="158"/>
      <c r="H19" s="73"/>
      <c r="I19" s="212">
        <f t="shared" si="1"/>
        <v>0.3</v>
      </c>
      <c r="J19" s="65"/>
      <c r="K19" s="65">
        <v>0.3</v>
      </c>
      <c r="L19" s="65"/>
      <c r="M19" s="65"/>
      <c r="N19" s="63">
        <v>53</v>
      </c>
      <c r="O19" s="212">
        <f t="shared" si="2"/>
        <v>2.35</v>
      </c>
      <c r="P19" s="65">
        <v>0.65</v>
      </c>
      <c r="Q19" s="65">
        <v>1.7</v>
      </c>
      <c r="R19" s="65"/>
      <c r="S19" s="65"/>
      <c r="T19" s="75">
        <v>408</v>
      </c>
      <c r="U19" s="202">
        <f t="shared" si="3"/>
        <v>0.29411764705882354</v>
      </c>
      <c r="V19" s="67"/>
    </row>
    <row r="20" spans="1:22" s="68" customFormat="1" ht="21.75" customHeight="1">
      <c r="A20" s="210">
        <v>14</v>
      </c>
      <c r="B20" s="211" t="s">
        <v>78</v>
      </c>
      <c r="C20" s="212">
        <f t="shared" si="0"/>
        <v>3</v>
      </c>
      <c r="D20" s="157"/>
      <c r="E20" s="157">
        <v>3</v>
      </c>
      <c r="F20" s="157"/>
      <c r="G20" s="158"/>
      <c r="H20" s="73"/>
      <c r="I20" s="212">
        <f t="shared" si="1"/>
        <v>0</v>
      </c>
      <c r="J20" s="65"/>
      <c r="K20" s="65"/>
      <c r="L20" s="65"/>
      <c r="M20" s="65"/>
      <c r="N20" s="63">
        <v>40</v>
      </c>
      <c r="O20" s="212">
        <f t="shared" si="2"/>
        <v>0.33</v>
      </c>
      <c r="P20" s="65"/>
      <c r="Q20" s="65">
        <v>0.33</v>
      </c>
      <c r="R20" s="65"/>
      <c r="S20" s="65"/>
      <c r="T20" s="75">
        <v>105</v>
      </c>
      <c r="U20" s="202">
        <f t="shared" si="3"/>
        <v>0.11</v>
      </c>
      <c r="V20" s="67"/>
    </row>
    <row r="21" spans="1:22" s="68" customFormat="1" ht="21.75" customHeight="1">
      <c r="A21" s="210">
        <v>15</v>
      </c>
      <c r="B21" s="211" t="s">
        <v>79</v>
      </c>
      <c r="C21" s="212">
        <f t="shared" si="0"/>
        <v>2.58</v>
      </c>
      <c r="D21" s="157">
        <v>0.84</v>
      </c>
      <c r="E21" s="157">
        <v>1.74</v>
      </c>
      <c r="F21" s="157"/>
      <c r="G21" s="158"/>
      <c r="H21" s="73"/>
      <c r="I21" s="212">
        <f t="shared" si="1"/>
        <v>0.3</v>
      </c>
      <c r="J21" s="65">
        <v>0.04</v>
      </c>
      <c r="K21" s="65">
        <v>0.26</v>
      </c>
      <c r="L21" s="65"/>
      <c r="M21" s="65"/>
      <c r="N21" s="63">
        <v>70</v>
      </c>
      <c r="O21" s="212">
        <f t="shared" si="2"/>
        <v>0.82</v>
      </c>
      <c r="P21" s="65">
        <v>0.09</v>
      </c>
      <c r="Q21" s="65">
        <v>0.73</v>
      </c>
      <c r="R21" s="65"/>
      <c r="S21" s="65"/>
      <c r="T21" s="75">
        <v>124</v>
      </c>
      <c r="U21" s="202">
        <f t="shared" si="3"/>
        <v>0.31782945736434104</v>
      </c>
      <c r="V21" s="67"/>
    </row>
    <row r="22" spans="1:22" s="68" customFormat="1" ht="21.75" customHeight="1">
      <c r="A22" s="210">
        <v>16</v>
      </c>
      <c r="B22" s="211" t="s">
        <v>80</v>
      </c>
      <c r="C22" s="212">
        <f t="shared" si="0"/>
        <v>2.22</v>
      </c>
      <c r="D22" s="157"/>
      <c r="E22" s="157">
        <v>2.22</v>
      </c>
      <c r="F22" s="157"/>
      <c r="G22" s="158"/>
      <c r="H22" s="73"/>
      <c r="I22" s="212">
        <f t="shared" si="1"/>
        <v>0</v>
      </c>
      <c r="J22" s="65"/>
      <c r="K22" s="65"/>
      <c r="L22" s="65"/>
      <c r="M22" s="65"/>
      <c r="N22" s="63">
        <v>70</v>
      </c>
      <c r="O22" s="212">
        <f t="shared" si="2"/>
        <v>0</v>
      </c>
      <c r="P22" s="65"/>
      <c r="Q22" s="65"/>
      <c r="R22" s="65"/>
      <c r="S22" s="65"/>
      <c r="T22" s="75">
        <v>165</v>
      </c>
      <c r="U22" s="202">
        <f t="shared" si="3"/>
        <v>0</v>
      </c>
      <c r="V22" s="67"/>
    </row>
    <row r="23" spans="1:22" s="68" customFormat="1" ht="21.75" customHeight="1">
      <c r="A23" s="210">
        <v>17</v>
      </c>
      <c r="B23" s="211" t="s">
        <v>81</v>
      </c>
      <c r="C23" s="212">
        <f t="shared" si="0"/>
        <v>4.9799999999999995</v>
      </c>
      <c r="D23" s="157"/>
      <c r="E23" s="157">
        <v>4.08</v>
      </c>
      <c r="F23" s="157">
        <v>0.3</v>
      </c>
      <c r="G23" s="158">
        <v>0.6</v>
      </c>
      <c r="H23" s="73"/>
      <c r="I23" s="212">
        <f t="shared" si="1"/>
        <v>1</v>
      </c>
      <c r="J23" s="65"/>
      <c r="K23" s="65">
        <v>0.7</v>
      </c>
      <c r="L23" s="65">
        <v>0.3</v>
      </c>
      <c r="M23" s="65"/>
      <c r="N23" s="63"/>
      <c r="O23" s="212">
        <f t="shared" si="2"/>
        <v>1.83</v>
      </c>
      <c r="P23" s="65"/>
      <c r="Q23" s="65">
        <v>1.83</v>
      </c>
      <c r="R23" s="65"/>
      <c r="S23" s="65"/>
      <c r="T23" s="75">
        <v>263.95</v>
      </c>
      <c r="U23" s="202">
        <f t="shared" si="3"/>
        <v>0.36746987951807236</v>
      </c>
      <c r="V23" s="67"/>
    </row>
    <row r="24" spans="1:22" s="68" customFormat="1" ht="21.75" customHeight="1">
      <c r="A24" s="210">
        <v>18</v>
      </c>
      <c r="B24" s="211" t="s">
        <v>82</v>
      </c>
      <c r="C24" s="212">
        <f t="shared" si="0"/>
        <v>3</v>
      </c>
      <c r="D24" s="157">
        <v>2.45</v>
      </c>
      <c r="E24" s="157">
        <v>0.55</v>
      </c>
      <c r="F24" s="157"/>
      <c r="G24" s="158"/>
      <c r="H24" s="73"/>
      <c r="I24" s="212">
        <f t="shared" si="1"/>
        <v>0.4</v>
      </c>
      <c r="J24" s="65">
        <v>0.4</v>
      </c>
      <c r="K24" s="65"/>
      <c r="L24" s="65"/>
      <c r="M24" s="65"/>
      <c r="N24" s="63"/>
      <c r="O24" s="212">
        <f t="shared" si="2"/>
        <v>0.6</v>
      </c>
      <c r="P24" s="65">
        <v>0.6</v>
      </c>
      <c r="Q24" s="65"/>
      <c r="R24" s="65"/>
      <c r="S24" s="65"/>
      <c r="T24" s="75">
        <v>118</v>
      </c>
      <c r="U24" s="202">
        <f t="shared" si="3"/>
        <v>0.19999999999999998</v>
      </c>
      <c r="V24" s="67"/>
    </row>
    <row r="25" spans="1:22" s="68" customFormat="1" ht="21.75" customHeight="1">
      <c r="A25" s="210">
        <v>19</v>
      </c>
      <c r="B25" s="211" t="s">
        <v>83</v>
      </c>
      <c r="C25" s="212">
        <f t="shared" si="0"/>
        <v>4</v>
      </c>
      <c r="D25" s="157"/>
      <c r="E25" s="157">
        <v>3</v>
      </c>
      <c r="F25" s="157">
        <v>1</v>
      </c>
      <c r="G25" s="158"/>
      <c r="H25" s="73"/>
      <c r="I25" s="212">
        <f t="shared" si="1"/>
        <v>4</v>
      </c>
      <c r="J25" s="65">
        <v>3</v>
      </c>
      <c r="K25" s="65">
        <v>1</v>
      </c>
      <c r="L25" s="65"/>
      <c r="M25" s="65"/>
      <c r="N25" s="63">
        <v>42</v>
      </c>
      <c r="O25" s="212">
        <f t="shared" si="2"/>
        <v>4</v>
      </c>
      <c r="P25" s="65">
        <v>3</v>
      </c>
      <c r="Q25" s="65">
        <v>1</v>
      </c>
      <c r="R25" s="65"/>
      <c r="S25" s="65"/>
      <c r="T25" s="75">
        <v>42</v>
      </c>
      <c r="U25" s="202">
        <f t="shared" si="3"/>
        <v>1</v>
      </c>
      <c r="V25" s="67"/>
    </row>
    <row r="26" spans="1:22" s="68" customFormat="1" ht="21.75" customHeight="1">
      <c r="A26" s="210">
        <v>20</v>
      </c>
      <c r="B26" s="211" t="s">
        <v>84</v>
      </c>
      <c r="C26" s="212">
        <f t="shared" si="0"/>
        <v>2.1</v>
      </c>
      <c r="D26" s="157"/>
      <c r="E26" s="157">
        <v>2.1</v>
      </c>
      <c r="F26" s="157"/>
      <c r="G26" s="158"/>
      <c r="H26" s="73"/>
      <c r="I26" s="212">
        <f t="shared" si="1"/>
        <v>0.3</v>
      </c>
      <c r="J26" s="65"/>
      <c r="K26" s="65">
        <v>0.3</v>
      </c>
      <c r="L26" s="65"/>
      <c r="M26" s="65"/>
      <c r="N26" s="63"/>
      <c r="O26" s="212">
        <f t="shared" si="2"/>
        <v>1.5</v>
      </c>
      <c r="P26" s="65"/>
      <c r="Q26" s="65">
        <v>1.5</v>
      </c>
      <c r="R26" s="65"/>
      <c r="S26" s="65"/>
      <c r="T26" s="75">
        <v>152</v>
      </c>
      <c r="U26" s="202">
        <f t="shared" si="3"/>
        <v>0.7142857142857143</v>
      </c>
      <c r="V26" s="67"/>
    </row>
    <row r="27" spans="1:22" s="68" customFormat="1" ht="21.75" customHeight="1">
      <c r="A27" s="210">
        <v>21</v>
      </c>
      <c r="B27" s="211" t="s">
        <v>85</v>
      </c>
      <c r="C27" s="212">
        <f t="shared" si="0"/>
        <v>2.5</v>
      </c>
      <c r="D27" s="157">
        <v>1</v>
      </c>
      <c r="E27" s="157">
        <v>1.5</v>
      </c>
      <c r="F27" s="157"/>
      <c r="G27" s="158"/>
      <c r="H27" s="73"/>
      <c r="I27" s="212">
        <f t="shared" si="1"/>
        <v>0.31</v>
      </c>
      <c r="J27" s="65">
        <v>0.31</v>
      </c>
      <c r="K27" s="65"/>
      <c r="L27" s="65"/>
      <c r="M27" s="65"/>
      <c r="N27" s="63"/>
      <c r="O27" s="212">
        <f t="shared" si="2"/>
        <v>0.31</v>
      </c>
      <c r="P27" s="65">
        <v>0.31</v>
      </c>
      <c r="Q27" s="65"/>
      <c r="R27" s="65"/>
      <c r="S27" s="65"/>
      <c r="T27" s="75">
        <v>97</v>
      </c>
      <c r="U27" s="202">
        <f t="shared" si="3"/>
        <v>0.124</v>
      </c>
      <c r="V27" s="67"/>
    </row>
    <row r="28" spans="1:22" s="68" customFormat="1" ht="19.5" customHeight="1">
      <c r="A28" s="113">
        <v>22</v>
      </c>
      <c r="B28" s="114" t="s">
        <v>163</v>
      </c>
      <c r="C28" s="216">
        <f t="shared" si="0"/>
        <v>1.65</v>
      </c>
      <c r="D28" s="217">
        <v>1.65</v>
      </c>
      <c r="E28" s="217"/>
      <c r="F28" s="217"/>
      <c r="G28" s="200"/>
      <c r="H28" s="120"/>
      <c r="I28" s="216">
        <f t="shared" si="1"/>
        <v>0.15</v>
      </c>
      <c r="J28" s="122">
        <v>0.15</v>
      </c>
      <c r="K28" s="122"/>
      <c r="L28" s="122"/>
      <c r="M28" s="122"/>
      <c r="N28" s="120"/>
      <c r="O28" s="216">
        <f t="shared" si="2"/>
        <v>0.75</v>
      </c>
      <c r="P28" s="122">
        <v>0.75</v>
      </c>
      <c r="Q28" s="122"/>
      <c r="R28" s="122"/>
      <c r="S28" s="122"/>
      <c r="T28" s="120">
        <v>61</v>
      </c>
      <c r="U28" s="203">
        <f t="shared" si="3"/>
        <v>0.4545454545454546</v>
      </c>
      <c r="V28" s="82"/>
    </row>
    <row r="29" spans="1:22" ht="21.75" customHeight="1">
      <c r="A29" s="924" t="s">
        <v>23</v>
      </c>
      <c r="B29" s="925"/>
      <c r="C29" s="54">
        <f aca="true" t="shared" si="4" ref="C29:T29">+SUM(C7:C28)</f>
        <v>86.09</v>
      </c>
      <c r="D29" s="183">
        <f t="shared" si="4"/>
        <v>21.77</v>
      </c>
      <c r="E29" s="183">
        <f t="shared" si="4"/>
        <v>54.07</v>
      </c>
      <c r="F29" s="183">
        <f t="shared" si="4"/>
        <v>7.119999999999999</v>
      </c>
      <c r="G29" s="183">
        <f t="shared" si="4"/>
        <v>3.1300000000000003</v>
      </c>
      <c r="H29" s="183">
        <f t="shared" si="4"/>
        <v>0</v>
      </c>
      <c r="I29" s="185">
        <f t="shared" si="4"/>
        <v>14.06</v>
      </c>
      <c r="J29" s="185">
        <f t="shared" si="4"/>
        <v>5.53</v>
      </c>
      <c r="K29" s="185">
        <f t="shared" si="4"/>
        <v>6.93</v>
      </c>
      <c r="L29" s="185">
        <f t="shared" si="4"/>
        <v>1.4000000000000001</v>
      </c>
      <c r="M29" s="185">
        <f t="shared" si="4"/>
        <v>0.2</v>
      </c>
      <c r="N29" s="185">
        <f t="shared" si="4"/>
        <v>1666.4</v>
      </c>
      <c r="O29" s="185">
        <f t="shared" si="4"/>
        <v>35.86000000000001</v>
      </c>
      <c r="P29" s="185">
        <f t="shared" si="4"/>
        <v>11.55</v>
      </c>
      <c r="Q29" s="185">
        <f t="shared" si="4"/>
        <v>22.009999999999998</v>
      </c>
      <c r="R29" s="185">
        <f t="shared" si="4"/>
        <v>1.8</v>
      </c>
      <c r="S29" s="185">
        <f t="shared" si="4"/>
        <v>0.5</v>
      </c>
      <c r="T29" s="185">
        <f t="shared" si="4"/>
        <v>5317.349999999999</v>
      </c>
      <c r="U29" s="188">
        <f>+O29/C29</f>
        <v>0.4165408293646185</v>
      </c>
      <c r="V29" s="189"/>
    </row>
    <row r="30" spans="2:22" ht="15">
      <c r="B30" s="170"/>
      <c r="C30" s="207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</row>
    <row r="31" spans="2:21" ht="15">
      <c r="B31" s="162"/>
      <c r="N31" s="164"/>
      <c r="Q31" s="36"/>
      <c r="T31" s="165"/>
      <c r="U31" s="166"/>
    </row>
    <row r="32" spans="3:20" ht="15">
      <c r="C32" s="167"/>
      <c r="J32" s="36"/>
      <c r="O32" s="168"/>
      <c r="T32" s="169"/>
    </row>
  </sheetData>
  <sheetProtection/>
  <mergeCells count="20">
    <mergeCell ref="O5:O6"/>
    <mergeCell ref="A1:V1"/>
    <mergeCell ref="A2:V2"/>
    <mergeCell ref="A3:V3"/>
    <mergeCell ref="A4:A6"/>
    <mergeCell ref="B4:B6"/>
    <mergeCell ref="C4:H4"/>
    <mergeCell ref="I4:N4"/>
    <mergeCell ref="O4:T4"/>
    <mergeCell ref="U4:U6"/>
    <mergeCell ref="P5:S5"/>
    <mergeCell ref="T5:T6"/>
    <mergeCell ref="A29:B29"/>
    <mergeCell ref="V4:V6"/>
    <mergeCell ref="C5:C6"/>
    <mergeCell ref="D5:G5"/>
    <mergeCell ref="H5:H6"/>
    <mergeCell ref="I5:I6"/>
    <mergeCell ref="J5:M5"/>
    <mergeCell ref="N5:N6"/>
  </mergeCells>
  <printOptions/>
  <pageMargins left="0.75" right="0.75" top="1" bottom="1" header="0.5" footer="0.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33"/>
  <sheetViews>
    <sheetView zoomScale="85" zoomScaleNormal="85" zoomScalePageLayoutView="0" workbookViewId="0" topLeftCell="A1">
      <selection activeCell="M5" sqref="M5:M6"/>
    </sheetView>
  </sheetViews>
  <sheetFormatPr defaultColWidth="9.00390625" defaultRowHeight="14.25"/>
  <cols>
    <col min="1" max="1" width="3.625" style="26" customWidth="1"/>
    <col min="2" max="2" width="12.625" style="26" customWidth="1"/>
    <col min="3" max="3" width="0.12890625" style="163" hidden="1" customWidth="1"/>
    <col min="4" max="4" width="7.75390625" style="26" hidden="1" customWidth="1"/>
    <col min="5" max="5" width="7.50390625" style="26" hidden="1" customWidth="1"/>
    <col min="6" max="6" width="9.375" style="26" hidden="1" customWidth="1"/>
    <col min="7" max="7" width="6.125" style="163" customWidth="1"/>
    <col min="8" max="8" width="6.25390625" style="26" customWidth="1"/>
    <col min="9" max="9" width="6.75390625" style="26" customWidth="1"/>
    <col min="10" max="10" width="6.50390625" style="26" customWidth="1"/>
    <col min="11" max="11" width="6.125" style="26" customWidth="1"/>
    <col min="12" max="12" width="7.00390625" style="26" customWidth="1"/>
    <col min="13" max="13" width="4.875" style="163" customWidth="1"/>
    <col min="14" max="14" width="5.00390625" style="26" customWidth="1"/>
    <col min="15" max="15" width="5.375" style="26" customWidth="1"/>
    <col min="16" max="16" width="5.50390625" style="26" customWidth="1"/>
    <col min="17" max="17" width="5.75390625" style="26" customWidth="1"/>
    <col min="18" max="18" width="6.50390625" style="26" customWidth="1"/>
    <col min="19" max="19" width="5.75390625" style="163" customWidth="1"/>
    <col min="20" max="20" width="6.00390625" style="26" customWidth="1"/>
    <col min="21" max="21" width="5.125" style="26" customWidth="1"/>
    <col min="22" max="22" width="6.125" style="26" customWidth="1"/>
    <col min="23" max="23" width="5.625" style="26" customWidth="1"/>
    <col min="24" max="24" width="7.25390625" style="26" customWidth="1"/>
    <col min="25" max="25" width="7.375" style="26" customWidth="1"/>
    <col min="26" max="26" width="4.50390625" style="26" customWidth="1"/>
    <col min="27" max="16384" width="9.00390625" style="26" customWidth="1"/>
  </cols>
  <sheetData>
    <row r="1" spans="1:26" ht="30" customHeight="1">
      <c r="A1" s="856" t="s">
        <v>299</v>
      </c>
      <c r="B1" s="856"/>
      <c r="C1" s="856"/>
      <c r="D1" s="856"/>
      <c r="E1" s="856"/>
      <c r="F1" s="856"/>
      <c r="G1" s="856"/>
      <c r="H1" s="856"/>
      <c r="I1" s="856"/>
      <c r="J1" s="856"/>
      <c r="K1" s="856"/>
      <c r="L1" s="856"/>
      <c r="M1" s="856"/>
      <c r="N1" s="856"/>
      <c r="O1" s="856"/>
      <c r="P1" s="856"/>
      <c r="Q1" s="856"/>
      <c r="R1" s="856"/>
      <c r="S1" s="856"/>
      <c r="T1" s="856"/>
      <c r="U1" s="856"/>
      <c r="V1" s="856"/>
      <c r="W1" s="856"/>
      <c r="X1" s="856"/>
      <c r="Y1" s="856"/>
      <c r="Z1" s="856"/>
    </row>
    <row r="2" spans="1:26" s="148" customFormat="1" ht="22.5" customHeight="1">
      <c r="A2" s="857" t="s">
        <v>305</v>
      </c>
      <c r="B2" s="857"/>
      <c r="C2" s="857"/>
      <c r="D2" s="857"/>
      <c r="E2" s="857"/>
      <c r="F2" s="857"/>
      <c r="G2" s="857"/>
      <c r="H2" s="857"/>
      <c r="I2" s="857"/>
      <c r="J2" s="857"/>
      <c r="K2" s="857"/>
      <c r="L2" s="857"/>
      <c r="M2" s="857"/>
      <c r="N2" s="857"/>
      <c r="O2" s="857"/>
      <c r="P2" s="857"/>
      <c r="Q2" s="857"/>
      <c r="R2" s="857"/>
      <c r="S2" s="857"/>
      <c r="T2" s="857"/>
      <c r="U2" s="857"/>
      <c r="V2" s="857"/>
      <c r="W2" s="857"/>
      <c r="X2" s="857"/>
      <c r="Y2" s="857"/>
      <c r="Z2" s="857"/>
    </row>
    <row r="3" spans="1:26" s="148" customFormat="1" ht="22.5" customHeight="1">
      <c r="A3" s="858"/>
      <c r="B3" s="858"/>
      <c r="C3" s="858"/>
      <c r="D3" s="858"/>
      <c r="E3" s="858"/>
      <c r="F3" s="858"/>
      <c r="G3" s="858"/>
      <c r="H3" s="858"/>
      <c r="I3" s="858"/>
      <c r="J3" s="858"/>
      <c r="K3" s="858"/>
      <c r="L3" s="858"/>
      <c r="M3" s="858"/>
      <c r="N3" s="858"/>
      <c r="O3" s="858"/>
      <c r="P3" s="858"/>
      <c r="Q3" s="858"/>
      <c r="R3" s="858"/>
      <c r="S3" s="858"/>
      <c r="T3" s="858"/>
      <c r="U3" s="858"/>
      <c r="V3" s="858"/>
      <c r="W3" s="858"/>
      <c r="X3" s="858"/>
      <c r="Y3" s="858"/>
      <c r="Z3" s="858"/>
    </row>
    <row r="4" spans="1:26" s="151" customFormat="1" ht="33" customHeight="1">
      <c r="A4" s="933" t="s">
        <v>0</v>
      </c>
      <c r="B4" s="866" t="s">
        <v>160</v>
      </c>
      <c r="C4" s="922" t="s">
        <v>25</v>
      </c>
      <c r="D4" s="922"/>
      <c r="E4" s="922"/>
      <c r="F4" s="922"/>
      <c r="G4" s="934" t="s">
        <v>26</v>
      </c>
      <c r="H4" s="935"/>
      <c r="I4" s="935"/>
      <c r="J4" s="935"/>
      <c r="K4" s="935"/>
      <c r="L4" s="936"/>
      <c r="M4" s="934" t="s">
        <v>44</v>
      </c>
      <c r="N4" s="935"/>
      <c r="O4" s="935"/>
      <c r="P4" s="935"/>
      <c r="Q4" s="935"/>
      <c r="R4" s="936"/>
      <c r="S4" s="937" t="s">
        <v>45</v>
      </c>
      <c r="T4" s="938"/>
      <c r="U4" s="938"/>
      <c r="V4" s="938"/>
      <c r="W4" s="938"/>
      <c r="X4" s="939"/>
      <c r="Y4" s="866" t="s">
        <v>43</v>
      </c>
      <c r="Z4" s="866" t="s">
        <v>14</v>
      </c>
    </row>
    <row r="5" spans="1:26" s="151" customFormat="1" ht="15.75" customHeight="1">
      <c r="A5" s="933"/>
      <c r="B5" s="866"/>
      <c r="C5" s="922" t="s">
        <v>20</v>
      </c>
      <c r="D5" s="932" t="s">
        <v>21</v>
      </c>
      <c r="E5" s="932"/>
      <c r="F5" s="932"/>
      <c r="G5" s="866" t="s">
        <v>38</v>
      </c>
      <c r="H5" s="940" t="s">
        <v>21</v>
      </c>
      <c r="I5" s="940"/>
      <c r="J5" s="940"/>
      <c r="K5" s="940"/>
      <c r="L5" s="930" t="s">
        <v>202</v>
      </c>
      <c r="M5" s="866" t="s">
        <v>38</v>
      </c>
      <c r="N5" s="927" t="s">
        <v>21</v>
      </c>
      <c r="O5" s="928"/>
      <c r="P5" s="928"/>
      <c r="Q5" s="929"/>
      <c r="R5" s="930" t="s">
        <v>37</v>
      </c>
      <c r="S5" s="866" t="s">
        <v>38</v>
      </c>
      <c r="T5" s="927" t="s">
        <v>21</v>
      </c>
      <c r="U5" s="928"/>
      <c r="V5" s="928"/>
      <c r="W5" s="929"/>
      <c r="X5" s="930" t="s">
        <v>37</v>
      </c>
      <c r="Y5" s="866"/>
      <c r="Z5" s="866"/>
    </row>
    <row r="6" spans="1:26" s="151" customFormat="1" ht="95.25" customHeight="1">
      <c r="A6" s="933"/>
      <c r="B6" s="866"/>
      <c r="C6" s="922"/>
      <c r="D6" s="371" t="s">
        <v>17</v>
      </c>
      <c r="E6" s="371" t="s">
        <v>18</v>
      </c>
      <c r="F6" s="371" t="s">
        <v>19</v>
      </c>
      <c r="G6" s="866"/>
      <c r="H6" s="370" t="s">
        <v>39</v>
      </c>
      <c r="I6" s="370" t="s">
        <v>40</v>
      </c>
      <c r="J6" s="370" t="s">
        <v>41</v>
      </c>
      <c r="K6" s="370" t="s">
        <v>42</v>
      </c>
      <c r="L6" s="931"/>
      <c r="M6" s="866"/>
      <c r="N6" s="370" t="s">
        <v>39</v>
      </c>
      <c r="O6" s="370" t="s">
        <v>40</v>
      </c>
      <c r="P6" s="370" t="s">
        <v>41</v>
      </c>
      <c r="Q6" s="370" t="s">
        <v>42</v>
      </c>
      <c r="R6" s="931"/>
      <c r="S6" s="866"/>
      <c r="T6" s="370" t="s">
        <v>39</v>
      </c>
      <c r="U6" s="370" t="s">
        <v>40</v>
      </c>
      <c r="V6" s="370" t="s">
        <v>41</v>
      </c>
      <c r="W6" s="370" t="s">
        <v>42</v>
      </c>
      <c r="X6" s="931"/>
      <c r="Y6" s="866"/>
      <c r="Z6" s="866"/>
    </row>
    <row r="7" spans="1:26" s="430" customFormat="1" ht="24" customHeight="1">
      <c r="A7" s="372">
        <v>1</v>
      </c>
      <c r="B7" s="440" t="s">
        <v>274</v>
      </c>
      <c r="C7" s="441"/>
      <c r="D7" s="375"/>
      <c r="E7" s="375"/>
      <c r="F7" s="375"/>
      <c r="G7" s="380">
        <f aca="true" t="shared" si="0" ref="G7:G29">SUM(H7:J7)</f>
        <v>5.2</v>
      </c>
      <c r="H7" s="442">
        <v>0.6</v>
      </c>
      <c r="I7" s="443">
        <v>2.2</v>
      </c>
      <c r="J7" s="443">
        <v>2.4</v>
      </c>
      <c r="K7" s="432"/>
      <c r="L7" s="433"/>
      <c r="M7" s="380">
        <f aca="true" t="shared" si="1" ref="M7:M29">SUM(N7:Q7)</f>
        <v>0</v>
      </c>
      <c r="N7" s="444">
        <v>0</v>
      </c>
      <c r="O7" s="444">
        <v>0</v>
      </c>
      <c r="P7" s="444">
        <v>0</v>
      </c>
      <c r="Q7" s="382"/>
      <c r="R7" s="445">
        <v>0</v>
      </c>
      <c r="S7" s="380">
        <f aca="true" t="shared" si="2" ref="S7:S29">SUM(T7:W7)</f>
        <v>4.38</v>
      </c>
      <c r="T7" s="444">
        <v>0.75</v>
      </c>
      <c r="U7" s="446">
        <v>2.234</v>
      </c>
      <c r="V7" s="446">
        <v>1.396</v>
      </c>
      <c r="W7" s="444"/>
      <c r="X7" s="447">
        <v>630</v>
      </c>
      <c r="Y7" s="385">
        <f aca="true" t="shared" si="3" ref="Y7:Y30">+S7/G7</f>
        <v>0.8423076923076923</v>
      </c>
      <c r="Z7" s="386"/>
    </row>
    <row r="8" spans="1:26" s="430" customFormat="1" ht="18" customHeight="1">
      <c r="A8" s="387">
        <v>2</v>
      </c>
      <c r="B8" s="448" t="s">
        <v>275</v>
      </c>
      <c r="C8" s="449"/>
      <c r="D8" s="389"/>
      <c r="E8" s="389"/>
      <c r="F8" s="389"/>
      <c r="G8" s="393">
        <f t="shared" si="0"/>
        <v>4</v>
      </c>
      <c r="H8" s="450">
        <v>0.3</v>
      </c>
      <c r="I8" s="451">
        <v>1.3</v>
      </c>
      <c r="J8" s="434">
        <v>2.4</v>
      </c>
      <c r="K8" s="435"/>
      <c r="L8" s="436"/>
      <c r="M8" s="393">
        <f t="shared" si="1"/>
        <v>0</v>
      </c>
      <c r="N8" s="452">
        <v>0</v>
      </c>
      <c r="O8" s="452">
        <v>0</v>
      </c>
      <c r="P8" s="452">
        <v>0</v>
      </c>
      <c r="Q8" s="394"/>
      <c r="R8" s="453">
        <v>0</v>
      </c>
      <c r="S8" s="439">
        <f t="shared" si="2"/>
        <v>1.208</v>
      </c>
      <c r="T8" s="452"/>
      <c r="U8" s="454">
        <v>0.459</v>
      </c>
      <c r="V8" s="454">
        <v>0.749</v>
      </c>
      <c r="W8" s="452"/>
      <c r="X8" s="455">
        <f>160</f>
        <v>160</v>
      </c>
      <c r="Y8" s="396">
        <f t="shared" si="3"/>
        <v>0.302</v>
      </c>
      <c r="Z8" s="397"/>
    </row>
    <row r="9" spans="1:26" s="431" customFormat="1" ht="24.75" customHeight="1">
      <c r="A9" s="387">
        <v>3</v>
      </c>
      <c r="B9" s="448" t="s">
        <v>276</v>
      </c>
      <c r="C9" s="449"/>
      <c r="D9" s="398"/>
      <c r="E9" s="398"/>
      <c r="F9" s="398"/>
      <c r="G9" s="393">
        <f t="shared" si="0"/>
        <v>3.1500000000000004</v>
      </c>
      <c r="H9" s="450">
        <v>0.7</v>
      </c>
      <c r="I9" s="451">
        <v>0.9</v>
      </c>
      <c r="J9" s="434">
        <v>1.55</v>
      </c>
      <c r="K9" s="437"/>
      <c r="L9" s="436"/>
      <c r="M9" s="393">
        <f t="shared" si="1"/>
        <v>0.335</v>
      </c>
      <c r="N9" s="452">
        <v>0.335</v>
      </c>
      <c r="O9" s="452">
        <v>0</v>
      </c>
      <c r="P9" s="452">
        <v>0</v>
      </c>
      <c r="Q9" s="394"/>
      <c r="R9" s="453">
        <v>0</v>
      </c>
      <c r="S9" s="393">
        <f t="shared" si="2"/>
        <v>1.9300000000000002</v>
      </c>
      <c r="T9" s="452">
        <v>0.335</v>
      </c>
      <c r="U9" s="454">
        <v>0.87</v>
      </c>
      <c r="V9" s="454">
        <v>0.725</v>
      </c>
      <c r="W9" s="452"/>
      <c r="X9" s="455">
        <v>270</v>
      </c>
      <c r="Y9" s="396">
        <f t="shared" si="3"/>
        <v>0.6126984126984126</v>
      </c>
      <c r="Z9" s="400"/>
    </row>
    <row r="10" spans="1:26" s="431" customFormat="1" ht="21.75" customHeight="1">
      <c r="A10" s="387">
        <v>4</v>
      </c>
      <c r="B10" s="448" t="s">
        <v>277</v>
      </c>
      <c r="C10" s="449"/>
      <c r="D10" s="398"/>
      <c r="E10" s="398"/>
      <c r="F10" s="398"/>
      <c r="G10" s="393">
        <f t="shared" si="0"/>
        <v>1.5</v>
      </c>
      <c r="H10" s="450"/>
      <c r="I10" s="451">
        <v>1.1</v>
      </c>
      <c r="J10" s="434">
        <v>0.4</v>
      </c>
      <c r="K10" s="437"/>
      <c r="L10" s="436"/>
      <c r="M10" s="393">
        <f t="shared" si="1"/>
        <v>0</v>
      </c>
      <c r="N10" s="456">
        <v>0</v>
      </c>
      <c r="O10" s="452">
        <v>0</v>
      </c>
      <c r="P10" s="452">
        <v>0</v>
      </c>
      <c r="Q10" s="394"/>
      <c r="R10" s="453">
        <v>0</v>
      </c>
      <c r="S10" s="393">
        <f t="shared" si="2"/>
        <v>0</v>
      </c>
      <c r="T10" s="456"/>
      <c r="U10" s="452"/>
      <c r="V10" s="454"/>
      <c r="W10" s="452"/>
      <c r="X10" s="455"/>
      <c r="Y10" s="396">
        <f t="shared" si="3"/>
        <v>0</v>
      </c>
      <c r="Z10" s="400"/>
    </row>
    <row r="11" spans="1:26" s="430" customFormat="1" ht="21.75" customHeight="1">
      <c r="A11" s="387">
        <v>5</v>
      </c>
      <c r="B11" s="448" t="s">
        <v>278</v>
      </c>
      <c r="C11" s="449"/>
      <c r="D11" s="389"/>
      <c r="E11" s="389"/>
      <c r="F11" s="389"/>
      <c r="G11" s="393">
        <f t="shared" si="0"/>
        <v>5.5</v>
      </c>
      <c r="H11" s="450"/>
      <c r="I11" s="451">
        <v>4.9</v>
      </c>
      <c r="J11" s="434">
        <v>0.6</v>
      </c>
      <c r="K11" s="435"/>
      <c r="L11" s="436"/>
      <c r="M11" s="393">
        <f t="shared" si="1"/>
        <v>1.3756000000000004</v>
      </c>
      <c r="N11" s="452">
        <v>0</v>
      </c>
      <c r="O11" s="452">
        <v>1.3756000000000004</v>
      </c>
      <c r="P11" s="452">
        <v>0</v>
      </c>
      <c r="Q11" s="394"/>
      <c r="R11" s="453">
        <v>0</v>
      </c>
      <c r="S11" s="439">
        <f t="shared" si="2"/>
        <v>5.853000000000001</v>
      </c>
      <c r="T11" s="452"/>
      <c r="U11" s="454">
        <v>5.171</v>
      </c>
      <c r="V11" s="454">
        <v>0.682</v>
      </c>
      <c r="W11" s="452"/>
      <c r="X11" s="455">
        <v>708</v>
      </c>
      <c r="Y11" s="396">
        <f t="shared" si="3"/>
        <v>1.0641818181818183</v>
      </c>
      <c r="Z11" s="397"/>
    </row>
    <row r="12" spans="1:26" s="430" customFormat="1" ht="21.75" customHeight="1">
      <c r="A12" s="387">
        <v>6</v>
      </c>
      <c r="B12" s="448" t="s">
        <v>279</v>
      </c>
      <c r="C12" s="449"/>
      <c r="D12" s="389"/>
      <c r="E12" s="389"/>
      <c r="F12" s="389"/>
      <c r="G12" s="393">
        <f t="shared" si="0"/>
        <v>1.5</v>
      </c>
      <c r="H12" s="457"/>
      <c r="I12" s="451">
        <v>0.7</v>
      </c>
      <c r="J12" s="434">
        <v>0.8</v>
      </c>
      <c r="K12" s="435"/>
      <c r="L12" s="436"/>
      <c r="M12" s="393">
        <f t="shared" si="1"/>
        <v>0.2</v>
      </c>
      <c r="N12" s="452">
        <v>0</v>
      </c>
      <c r="O12" s="452">
        <v>0.2</v>
      </c>
      <c r="P12" s="452">
        <v>0</v>
      </c>
      <c r="Q12" s="394"/>
      <c r="R12" s="453">
        <v>47</v>
      </c>
      <c r="S12" s="439">
        <f t="shared" si="2"/>
        <v>1.473</v>
      </c>
      <c r="T12" s="452"/>
      <c r="U12" s="454">
        <v>0.812</v>
      </c>
      <c r="V12" s="454">
        <v>0.661</v>
      </c>
      <c r="W12" s="452"/>
      <c r="X12" s="458">
        <v>187</v>
      </c>
      <c r="Y12" s="396">
        <f t="shared" si="3"/>
        <v>0.9820000000000001</v>
      </c>
      <c r="Z12" s="397"/>
    </row>
    <row r="13" spans="1:26" s="430" customFormat="1" ht="21.75" customHeight="1">
      <c r="A13" s="387">
        <v>7</v>
      </c>
      <c r="B13" s="448" t="s">
        <v>280</v>
      </c>
      <c r="C13" s="449"/>
      <c r="D13" s="389"/>
      <c r="E13" s="389"/>
      <c r="F13" s="389"/>
      <c r="G13" s="393">
        <f t="shared" si="0"/>
        <v>7.6</v>
      </c>
      <c r="H13" s="450">
        <v>0.2</v>
      </c>
      <c r="I13" s="451">
        <v>3.4</v>
      </c>
      <c r="J13" s="434">
        <v>4</v>
      </c>
      <c r="K13" s="435"/>
      <c r="L13" s="436"/>
      <c r="M13" s="393">
        <f t="shared" si="1"/>
        <v>0</v>
      </c>
      <c r="N13" s="452">
        <v>0</v>
      </c>
      <c r="O13" s="452">
        <v>0</v>
      </c>
      <c r="P13" s="452">
        <v>0</v>
      </c>
      <c r="Q13" s="394"/>
      <c r="R13" s="453">
        <v>0</v>
      </c>
      <c r="S13" s="439">
        <f t="shared" si="2"/>
        <v>3.2859999999999996</v>
      </c>
      <c r="T13" s="452">
        <v>0.161</v>
      </c>
      <c r="U13" s="454">
        <v>0.87</v>
      </c>
      <c r="V13" s="454">
        <v>2.255</v>
      </c>
      <c r="W13" s="452"/>
      <c r="X13" s="455">
        <v>440</v>
      </c>
      <c r="Y13" s="396">
        <f t="shared" si="3"/>
        <v>0.43236842105263157</v>
      </c>
      <c r="Z13" s="397"/>
    </row>
    <row r="14" spans="1:26" s="430" customFormat="1" ht="21.75" customHeight="1">
      <c r="A14" s="387">
        <v>8</v>
      </c>
      <c r="B14" s="448" t="s">
        <v>281</v>
      </c>
      <c r="C14" s="449"/>
      <c r="D14" s="389"/>
      <c r="E14" s="389"/>
      <c r="F14" s="389"/>
      <c r="G14" s="393">
        <f t="shared" si="0"/>
        <v>3.5</v>
      </c>
      <c r="H14" s="450"/>
      <c r="I14" s="451">
        <v>0.7</v>
      </c>
      <c r="J14" s="434">
        <v>2.8</v>
      </c>
      <c r="K14" s="435"/>
      <c r="L14" s="436"/>
      <c r="M14" s="393">
        <f t="shared" si="1"/>
        <v>0</v>
      </c>
      <c r="N14" s="452">
        <v>0</v>
      </c>
      <c r="O14" s="452">
        <v>0</v>
      </c>
      <c r="P14" s="452">
        <v>0</v>
      </c>
      <c r="Q14" s="394"/>
      <c r="R14" s="453">
        <v>0</v>
      </c>
      <c r="S14" s="393">
        <f t="shared" si="2"/>
        <v>0</v>
      </c>
      <c r="T14" s="452"/>
      <c r="U14" s="452"/>
      <c r="V14" s="452"/>
      <c r="W14" s="452"/>
      <c r="X14" s="455"/>
      <c r="Y14" s="396">
        <f t="shared" si="3"/>
        <v>0</v>
      </c>
      <c r="Z14" s="397"/>
    </row>
    <row r="15" spans="1:26" s="430" customFormat="1" ht="21.75" customHeight="1">
      <c r="A15" s="387">
        <v>9</v>
      </c>
      <c r="B15" s="448" t="s">
        <v>282</v>
      </c>
      <c r="C15" s="449"/>
      <c r="D15" s="389"/>
      <c r="E15" s="389"/>
      <c r="F15" s="389"/>
      <c r="G15" s="393">
        <f t="shared" si="0"/>
        <v>6.7</v>
      </c>
      <c r="H15" s="450">
        <v>5.4</v>
      </c>
      <c r="I15" s="451">
        <v>0.8</v>
      </c>
      <c r="J15" s="434">
        <v>0.5</v>
      </c>
      <c r="K15" s="435"/>
      <c r="L15" s="436"/>
      <c r="M15" s="393">
        <f t="shared" si="1"/>
        <v>0</v>
      </c>
      <c r="N15" s="452">
        <v>0</v>
      </c>
      <c r="O15" s="452">
        <v>0</v>
      </c>
      <c r="P15" s="452">
        <v>0</v>
      </c>
      <c r="Q15" s="394"/>
      <c r="R15" s="453">
        <v>0</v>
      </c>
      <c r="S15" s="393">
        <f t="shared" si="2"/>
        <v>0</v>
      </c>
      <c r="T15" s="452"/>
      <c r="U15" s="452"/>
      <c r="V15" s="452"/>
      <c r="W15" s="452"/>
      <c r="X15" s="455"/>
      <c r="Y15" s="396">
        <f t="shared" si="3"/>
        <v>0</v>
      </c>
      <c r="Z15" s="397"/>
    </row>
    <row r="16" spans="1:26" s="430" customFormat="1" ht="21.75" customHeight="1">
      <c r="A16" s="387">
        <v>10</v>
      </c>
      <c r="B16" s="448" t="s">
        <v>283</v>
      </c>
      <c r="C16" s="449"/>
      <c r="D16" s="389"/>
      <c r="E16" s="389"/>
      <c r="F16" s="389"/>
      <c r="G16" s="393">
        <f t="shared" si="0"/>
        <v>2.8000000000000003</v>
      </c>
      <c r="H16" s="450">
        <v>0.3</v>
      </c>
      <c r="I16" s="451">
        <v>1.6</v>
      </c>
      <c r="J16" s="434">
        <v>0.9</v>
      </c>
      <c r="K16" s="435"/>
      <c r="L16" s="436"/>
      <c r="M16" s="393">
        <f t="shared" si="1"/>
        <v>0.17</v>
      </c>
      <c r="N16" s="452">
        <v>0</v>
      </c>
      <c r="O16" s="452">
        <v>0.17</v>
      </c>
      <c r="P16" s="452">
        <v>0</v>
      </c>
      <c r="Q16" s="394"/>
      <c r="R16" s="453">
        <v>55</v>
      </c>
      <c r="S16" s="393">
        <f t="shared" si="2"/>
        <v>0.77</v>
      </c>
      <c r="T16" s="452"/>
      <c r="U16" s="454">
        <v>0.77</v>
      </c>
      <c r="V16" s="452"/>
      <c r="W16" s="452"/>
      <c r="X16" s="455">
        <v>105</v>
      </c>
      <c r="Y16" s="396">
        <f t="shared" si="3"/>
        <v>0.27499999999999997</v>
      </c>
      <c r="Z16" s="397"/>
    </row>
    <row r="17" spans="1:26" s="430" customFormat="1" ht="21.75" customHeight="1">
      <c r="A17" s="387">
        <v>11</v>
      </c>
      <c r="B17" s="448" t="s">
        <v>284</v>
      </c>
      <c r="C17" s="449"/>
      <c r="D17" s="389"/>
      <c r="E17" s="389"/>
      <c r="F17" s="389"/>
      <c r="G17" s="393">
        <f t="shared" si="0"/>
        <v>4.35</v>
      </c>
      <c r="H17" s="450">
        <v>1.8</v>
      </c>
      <c r="I17" s="451">
        <v>2.55</v>
      </c>
      <c r="J17" s="434"/>
      <c r="K17" s="435"/>
      <c r="L17" s="436"/>
      <c r="M17" s="393">
        <f t="shared" si="1"/>
        <v>0</v>
      </c>
      <c r="N17" s="452">
        <v>0</v>
      </c>
      <c r="O17" s="452">
        <v>0</v>
      </c>
      <c r="P17" s="452">
        <v>0</v>
      </c>
      <c r="Q17" s="394"/>
      <c r="R17" s="453">
        <v>0</v>
      </c>
      <c r="S17" s="439">
        <f t="shared" si="2"/>
        <v>0.932</v>
      </c>
      <c r="T17" s="452"/>
      <c r="U17" s="454">
        <v>0.932</v>
      </c>
      <c r="V17" s="452"/>
      <c r="W17" s="452"/>
      <c r="X17" s="455">
        <v>110</v>
      </c>
      <c r="Y17" s="396">
        <f t="shared" si="3"/>
        <v>0.21425287356321843</v>
      </c>
      <c r="Z17" s="397"/>
    </row>
    <row r="18" spans="1:26" s="430" customFormat="1" ht="21.75" customHeight="1">
      <c r="A18" s="387">
        <v>12</v>
      </c>
      <c r="B18" s="448" t="s">
        <v>285</v>
      </c>
      <c r="C18" s="449"/>
      <c r="D18" s="389"/>
      <c r="E18" s="389"/>
      <c r="F18" s="389"/>
      <c r="G18" s="393">
        <f t="shared" si="0"/>
        <v>4.699999999999999</v>
      </c>
      <c r="H18" s="450">
        <v>0.4</v>
      </c>
      <c r="I18" s="451">
        <v>2.3</v>
      </c>
      <c r="J18" s="434">
        <v>2</v>
      </c>
      <c r="K18" s="435"/>
      <c r="L18" s="436"/>
      <c r="M18" s="393">
        <f t="shared" si="1"/>
        <v>0.12200000000000005</v>
      </c>
      <c r="N18" s="452">
        <v>0</v>
      </c>
      <c r="O18" s="452">
        <v>0.12200000000000005</v>
      </c>
      <c r="P18" s="452">
        <v>0</v>
      </c>
      <c r="Q18" s="394"/>
      <c r="R18" s="453">
        <v>0</v>
      </c>
      <c r="S18" s="439">
        <f t="shared" si="2"/>
        <v>1.758</v>
      </c>
      <c r="T18" s="452"/>
      <c r="U18" s="454">
        <v>0.558</v>
      </c>
      <c r="V18" s="452">
        <v>1.2</v>
      </c>
      <c r="W18" s="452"/>
      <c r="X18" s="455">
        <v>80</v>
      </c>
      <c r="Y18" s="396">
        <f t="shared" si="3"/>
        <v>0.37404255319148944</v>
      </c>
      <c r="Z18" s="397"/>
    </row>
    <row r="19" spans="1:26" s="430" customFormat="1" ht="21.75" customHeight="1">
      <c r="A19" s="387">
        <v>13</v>
      </c>
      <c r="B19" s="448" t="s">
        <v>286</v>
      </c>
      <c r="C19" s="449"/>
      <c r="D19" s="389"/>
      <c r="E19" s="389"/>
      <c r="F19" s="389"/>
      <c r="G19" s="393">
        <f t="shared" si="0"/>
        <v>2.1999999999999997</v>
      </c>
      <c r="H19" s="450">
        <v>0.6</v>
      </c>
      <c r="I19" s="451">
        <v>1.3</v>
      </c>
      <c r="J19" s="434">
        <v>0.3</v>
      </c>
      <c r="K19" s="435"/>
      <c r="L19" s="436"/>
      <c r="M19" s="393">
        <f t="shared" si="1"/>
        <v>0.6</v>
      </c>
      <c r="N19" s="452">
        <v>0</v>
      </c>
      <c r="O19" s="452">
        <v>0.6</v>
      </c>
      <c r="P19" s="452">
        <v>0</v>
      </c>
      <c r="Q19" s="394"/>
      <c r="R19" s="453">
        <v>0</v>
      </c>
      <c r="S19" s="439">
        <f t="shared" si="2"/>
        <v>0.912</v>
      </c>
      <c r="T19" s="452">
        <v>0.1</v>
      </c>
      <c r="U19" s="454">
        <v>0.812</v>
      </c>
      <c r="V19" s="452"/>
      <c r="W19" s="452"/>
      <c r="X19" s="455">
        <v>93</v>
      </c>
      <c r="Y19" s="396">
        <f t="shared" si="3"/>
        <v>0.4145454545454546</v>
      </c>
      <c r="Z19" s="397"/>
    </row>
    <row r="20" spans="1:26" s="430" customFormat="1" ht="21.75" customHeight="1">
      <c r="A20" s="387">
        <v>14</v>
      </c>
      <c r="B20" s="448" t="s">
        <v>287</v>
      </c>
      <c r="C20" s="449"/>
      <c r="D20" s="389"/>
      <c r="E20" s="389"/>
      <c r="F20" s="389"/>
      <c r="G20" s="393">
        <f t="shared" si="0"/>
        <v>10.9</v>
      </c>
      <c r="H20" s="450">
        <v>3.2</v>
      </c>
      <c r="I20" s="451">
        <v>4.7</v>
      </c>
      <c r="J20" s="450">
        <v>3</v>
      </c>
      <c r="K20" s="435"/>
      <c r="L20" s="436"/>
      <c r="M20" s="393">
        <f t="shared" si="1"/>
        <v>1.198</v>
      </c>
      <c r="N20" s="452">
        <v>0</v>
      </c>
      <c r="O20" s="452">
        <v>0.948</v>
      </c>
      <c r="P20" s="452">
        <v>0.25</v>
      </c>
      <c r="Q20" s="394"/>
      <c r="R20" s="453">
        <v>0</v>
      </c>
      <c r="S20" s="393">
        <f t="shared" si="2"/>
        <v>2.3600000000000003</v>
      </c>
      <c r="T20" s="452"/>
      <c r="U20" s="454">
        <v>1.26</v>
      </c>
      <c r="V20" s="452">
        <v>1.1</v>
      </c>
      <c r="W20" s="452"/>
      <c r="X20" s="455">
        <v>260</v>
      </c>
      <c r="Y20" s="396">
        <f t="shared" si="3"/>
        <v>0.21651376146788992</v>
      </c>
      <c r="Z20" s="397"/>
    </row>
    <row r="21" spans="1:26" s="430" customFormat="1" ht="21.75" customHeight="1">
      <c r="A21" s="387">
        <v>15</v>
      </c>
      <c r="B21" s="448" t="s">
        <v>288</v>
      </c>
      <c r="C21" s="449"/>
      <c r="D21" s="389"/>
      <c r="E21" s="389"/>
      <c r="F21" s="389"/>
      <c r="G21" s="393">
        <f t="shared" si="0"/>
        <v>3.42</v>
      </c>
      <c r="H21" s="450">
        <v>0.32</v>
      </c>
      <c r="I21" s="451"/>
      <c r="J21" s="434">
        <v>3.1</v>
      </c>
      <c r="K21" s="435"/>
      <c r="L21" s="436"/>
      <c r="M21" s="393">
        <f t="shared" si="1"/>
        <v>0</v>
      </c>
      <c r="N21" s="452">
        <v>0</v>
      </c>
      <c r="O21" s="452">
        <v>0</v>
      </c>
      <c r="P21" s="452">
        <v>0</v>
      </c>
      <c r="Q21" s="394"/>
      <c r="R21" s="453">
        <v>0</v>
      </c>
      <c r="S21" s="439">
        <f t="shared" si="2"/>
        <v>1.5050000000000001</v>
      </c>
      <c r="T21" s="452"/>
      <c r="U21" s="454">
        <v>0.28</v>
      </c>
      <c r="V21" s="452">
        <v>1.225</v>
      </c>
      <c r="W21" s="452"/>
      <c r="X21" s="455">
        <v>180</v>
      </c>
      <c r="Y21" s="396">
        <f t="shared" si="3"/>
        <v>0.44005847953216376</v>
      </c>
      <c r="Z21" s="397"/>
    </row>
    <row r="22" spans="1:26" s="430" customFormat="1" ht="21.75" customHeight="1">
      <c r="A22" s="387">
        <v>16</v>
      </c>
      <c r="B22" s="448" t="s">
        <v>289</v>
      </c>
      <c r="C22" s="449"/>
      <c r="D22" s="389"/>
      <c r="E22" s="389"/>
      <c r="F22" s="389"/>
      <c r="G22" s="393">
        <f t="shared" si="0"/>
        <v>1.55</v>
      </c>
      <c r="H22" s="457">
        <v>0.2</v>
      </c>
      <c r="I22" s="451">
        <v>0.05</v>
      </c>
      <c r="J22" s="434">
        <v>1.3</v>
      </c>
      <c r="K22" s="435"/>
      <c r="L22" s="436"/>
      <c r="M22" s="393">
        <f t="shared" si="1"/>
        <v>0</v>
      </c>
      <c r="N22" s="452">
        <v>0</v>
      </c>
      <c r="O22" s="452">
        <v>0</v>
      </c>
      <c r="P22" s="452">
        <v>0</v>
      </c>
      <c r="Q22" s="394"/>
      <c r="R22" s="453">
        <v>0</v>
      </c>
      <c r="S22" s="393">
        <f t="shared" si="2"/>
        <v>0.9</v>
      </c>
      <c r="T22" s="452"/>
      <c r="U22" s="452"/>
      <c r="V22" s="452">
        <v>0.9</v>
      </c>
      <c r="W22" s="452"/>
      <c r="X22" s="458">
        <v>90</v>
      </c>
      <c r="Y22" s="396">
        <f t="shared" si="3"/>
        <v>0.5806451612903226</v>
      </c>
      <c r="Z22" s="397"/>
    </row>
    <row r="23" spans="1:26" s="430" customFormat="1" ht="21.75" customHeight="1">
      <c r="A23" s="387">
        <v>17</v>
      </c>
      <c r="B23" s="448" t="s">
        <v>290</v>
      </c>
      <c r="C23" s="449"/>
      <c r="D23" s="389"/>
      <c r="E23" s="389"/>
      <c r="F23" s="389"/>
      <c r="G23" s="393">
        <f t="shared" si="0"/>
        <v>3</v>
      </c>
      <c r="H23" s="450"/>
      <c r="I23" s="451">
        <v>3</v>
      </c>
      <c r="J23" s="434"/>
      <c r="K23" s="435"/>
      <c r="L23" s="436"/>
      <c r="M23" s="393">
        <f t="shared" si="1"/>
        <v>0</v>
      </c>
      <c r="N23" s="452">
        <v>0</v>
      </c>
      <c r="O23" s="452">
        <v>0</v>
      </c>
      <c r="P23" s="452">
        <v>0</v>
      </c>
      <c r="Q23" s="394"/>
      <c r="R23" s="453">
        <v>0</v>
      </c>
      <c r="S23" s="439">
        <f t="shared" si="2"/>
        <v>0.525</v>
      </c>
      <c r="T23" s="452"/>
      <c r="U23" s="454">
        <v>0.525</v>
      </c>
      <c r="V23" s="452"/>
      <c r="W23" s="452"/>
      <c r="X23" s="455">
        <v>150</v>
      </c>
      <c r="Y23" s="396">
        <f t="shared" si="3"/>
        <v>0.17500000000000002</v>
      </c>
      <c r="Z23" s="397"/>
    </row>
    <row r="24" spans="1:26" s="430" customFormat="1" ht="21.75" customHeight="1">
      <c r="A24" s="387">
        <v>18</v>
      </c>
      <c r="B24" s="448" t="s">
        <v>291</v>
      </c>
      <c r="C24" s="449"/>
      <c r="D24" s="389"/>
      <c r="E24" s="389"/>
      <c r="F24" s="389"/>
      <c r="G24" s="393">
        <f t="shared" si="0"/>
        <v>0.5</v>
      </c>
      <c r="H24" s="450"/>
      <c r="I24" s="451">
        <v>0.5</v>
      </c>
      <c r="J24" s="434"/>
      <c r="K24" s="435"/>
      <c r="L24" s="436"/>
      <c r="M24" s="393">
        <f t="shared" si="1"/>
        <v>0</v>
      </c>
      <c r="N24" s="452">
        <v>0</v>
      </c>
      <c r="O24" s="452">
        <v>0</v>
      </c>
      <c r="P24" s="452">
        <v>0</v>
      </c>
      <c r="Q24" s="394"/>
      <c r="R24" s="453">
        <v>31</v>
      </c>
      <c r="S24" s="393">
        <f t="shared" si="2"/>
        <v>0</v>
      </c>
      <c r="T24" s="452"/>
      <c r="U24" s="454"/>
      <c r="V24" s="452"/>
      <c r="W24" s="452"/>
      <c r="X24" s="455">
        <v>31</v>
      </c>
      <c r="Y24" s="396">
        <f t="shared" si="3"/>
        <v>0</v>
      </c>
      <c r="Z24" s="397"/>
    </row>
    <row r="25" spans="1:26" s="430" customFormat="1" ht="21.75" customHeight="1">
      <c r="A25" s="387">
        <v>19</v>
      </c>
      <c r="B25" s="448" t="s">
        <v>292</v>
      </c>
      <c r="C25" s="449"/>
      <c r="D25" s="389"/>
      <c r="E25" s="389"/>
      <c r="F25" s="389"/>
      <c r="G25" s="393">
        <f t="shared" si="0"/>
        <v>5</v>
      </c>
      <c r="H25" s="450">
        <v>1</v>
      </c>
      <c r="I25" s="451">
        <v>2</v>
      </c>
      <c r="J25" s="434">
        <v>2</v>
      </c>
      <c r="K25" s="435"/>
      <c r="L25" s="436"/>
      <c r="M25" s="393">
        <f t="shared" si="1"/>
        <v>0</v>
      </c>
      <c r="N25" s="452">
        <v>0</v>
      </c>
      <c r="O25" s="452">
        <v>0</v>
      </c>
      <c r="P25" s="452">
        <v>0</v>
      </c>
      <c r="Q25" s="394"/>
      <c r="R25" s="453">
        <v>0</v>
      </c>
      <c r="S25" s="439">
        <f t="shared" si="2"/>
        <v>0.529</v>
      </c>
      <c r="T25" s="452"/>
      <c r="U25" s="454">
        <v>0.397</v>
      </c>
      <c r="V25" s="452">
        <v>0.132</v>
      </c>
      <c r="W25" s="452"/>
      <c r="X25" s="455">
        <v>60</v>
      </c>
      <c r="Y25" s="396">
        <f t="shared" si="3"/>
        <v>0.1058</v>
      </c>
      <c r="Z25" s="397"/>
    </row>
    <row r="26" spans="1:26" s="430" customFormat="1" ht="21.75" customHeight="1">
      <c r="A26" s="387">
        <v>20</v>
      </c>
      <c r="B26" s="448" t="s">
        <v>293</v>
      </c>
      <c r="C26" s="449"/>
      <c r="D26" s="389"/>
      <c r="E26" s="389"/>
      <c r="F26" s="389"/>
      <c r="G26" s="393">
        <f t="shared" si="0"/>
        <v>5.05</v>
      </c>
      <c r="H26" s="450"/>
      <c r="I26" s="451">
        <v>5.05</v>
      </c>
      <c r="J26" s="434"/>
      <c r="K26" s="435"/>
      <c r="L26" s="436"/>
      <c r="M26" s="393">
        <f t="shared" si="1"/>
        <v>0</v>
      </c>
      <c r="N26" s="452">
        <v>0</v>
      </c>
      <c r="O26" s="452">
        <v>0</v>
      </c>
      <c r="P26" s="452">
        <v>0</v>
      </c>
      <c r="Q26" s="394"/>
      <c r="R26" s="453">
        <v>0</v>
      </c>
      <c r="S26" s="393">
        <f t="shared" si="2"/>
        <v>0.61</v>
      </c>
      <c r="T26" s="452"/>
      <c r="U26" s="454">
        <v>0.61</v>
      </c>
      <c r="V26" s="452"/>
      <c r="W26" s="452"/>
      <c r="X26" s="455">
        <v>61</v>
      </c>
      <c r="Y26" s="396">
        <f t="shared" si="3"/>
        <v>0.12079207920792079</v>
      </c>
      <c r="Z26" s="397"/>
    </row>
    <row r="27" spans="1:26" s="430" customFormat="1" ht="21.75" customHeight="1">
      <c r="A27" s="387">
        <v>21</v>
      </c>
      <c r="B27" s="448" t="s">
        <v>294</v>
      </c>
      <c r="C27" s="449"/>
      <c r="D27" s="389"/>
      <c r="E27" s="389"/>
      <c r="F27" s="389"/>
      <c r="G27" s="393">
        <f t="shared" si="0"/>
        <v>4.1</v>
      </c>
      <c r="H27" s="450"/>
      <c r="I27" s="451">
        <v>4.1</v>
      </c>
      <c r="J27" s="434"/>
      <c r="K27" s="435"/>
      <c r="L27" s="436"/>
      <c r="M27" s="393">
        <f t="shared" si="1"/>
        <v>0.5720000000000001</v>
      </c>
      <c r="N27" s="452">
        <v>0</v>
      </c>
      <c r="O27" s="452">
        <v>0</v>
      </c>
      <c r="P27" s="452">
        <v>0.5720000000000001</v>
      </c>
      <c r="Q27" s="394"/>
      <c r="R27" s="453">
        <v>0</v>
      </c>
      <c r="S27" s="393">
        <f t="shared" si="2"/>
        <v>1.6</v>
      </c>
      <c r="T27" s="452"/>
      <c r="U27" s="454"/>
      <c r="V27" s="452">
        <v>1.6</v>
      </c>
      <c r="W27" s="452"/>
      <c r="X27" s="455">
        <v>160</v>
      </c>
      <c r="Y27" s="396">
        <f t="shared" si="3"/>
        <v>0.39024390243902446</v>
      </c>
      <c r="Z27" s="397"/>
    </row>
    <row r="28" spans="1:26" s="430" customFormat="1" ht="21.75" customHeight="1">
      <c r="A28" s="387">
        <v>22</v>
      </c>
      <c r="B28" s="448" t="s">
        <v>295</v>
      </c>
      <c r="C28" s="449"/>
      <c r="D28" s="389"/>
      <c r="E28" s="389"/>
      <c r="F28" s="389"/>
      <c r="G28" s="393">
        <f t="shared" si="0"/>
        <v>2.4699999999999998</v>
      </c>
      <c r="H28" s="457"/>
      <c r="I28" s="451">
        <v>0.82</v>
      </c>
      <c r="J28" s="434">
        <v>1.65</v>
      </c>
      <c r="K28" s="435"/>
      <c r="L28" s="436"/>
      <c r="M28" s="393">
        <f t="shared" si="1"/>
        <v>0</v>
      </c>
      <c r="N28" s="452">
        <v>0</v>
      </c>
      <c r="O28" s="452">
        <v>0</v>
      </c>
      <c r="P28" s="452">
        <v>0</v>
      </c>
      <c r="Q28" s="394"/>
      <c r="R28" s="453">
        <v>0</v>
      </c>
      <c r="S28" s="439">
        <f t="shared" si="2"/>
        <v>2.909</v>
      </c>
      <c r="T28" s="452"/>
      <c r="U28" s="454">
        <v>1.314</v>
      </c>
      <c r="V28" s="452">
        <v>1.595</v>
      </c>
      <c r="W28" s="452"/>
      <c r="X28" s="458">
        <v>302</v>
      </c>
      <c r="Y28" s="396">
        <f t="shared" si="3"/>
        <v>1.1777327935222672</v>
      </c>
      <c r="Z28" s="397"/>
    </row>
    <row r="29" spans="1:26" s="430" customFormat="1" ht="21.75" customHeight="1">
      <c r="A29" s="387">
        <v>23</v>
      </c>
      <c r="B29" s="459" t="s">
        <v>296</v>
      </c>
      <c r="C29" s="449"/>
      <c r="D29" s="389"/>
      <c r="E29" s="389"/>
      <c r="F29" s="389"/>
      <c r="G29" s="393">
        <f t="shared" si="0"/>
        <v>0</v>
      </c>
      <c r="H29" s="460"/>
      <c r="I29" s="461"/>
      <c r="J29" s="438"/>
      <c r="K29" s="435"/>
      <c r="L29" s="436"/>
      <c r="M29" s="393">
        <f t="shared" si="1"/>
        <v>0</v>
      </c>
      <c r="N29" s="452">
        <v>0</v>
      </c>
      <c r="O29" s="452">
        <v>0</v>
      </c>
      <c r="P29" s="452">
        <v>0</v>
      </c>
      <c r="Q29" s="394"/>
      <c r="R29" s="453">
        <v>0</v>
      </c>
      <c r="S29" s="393">
        <f t="shared" si="2"/>
        <v>0</v>
      </c>
      <c r="T29" s="452"/>
      <c r="U29" s="454"/>
      <c r="V29" s="452"/>
      <c r="W29" s="452"/>
      <c r="X29" s="438"/>
      <c r="Y29" s="396"/>
      <c r="Z29" s="397"/>
    </row>
    <row r="30" spans="1:26" s="431" customFormat="1" ht="21.75" customHeight="1">
      <c r="A30" s="926" t="s">
        <v>23</v>
      </c>
      <c r="B30" s="926"/>
      <c r="C30" s="414">
        <f aca="true" t="shared" si="4" ref="C30:J30">+SUM(C7:C29)</f>
        <v>0</v>
      </c>
      <c r="D30" s="415">
        <f t="shared" si="4"/>
        <v>0</v>
      </c>
      <c r="E30" s="415">
        <f t="shared" si="4"/>
        <v>0</v>
      </c>
      <c r="F30" s="415">
        <f t="shared" si="4"/>
        <v>0</v>
      </c>
      <c r="G30" s="414">
        <f t="shared" si="4"/>
        <v>88.68999999999998</v>
      </c>
      <c r="H30" s="415">
        <f t="shared" si="4"/>
        <v>15.02</v>
      </c>
      <c r="I30" s="415">
        <f t="shared" si="4"/>
        <v>43.97</v>
      </c>
      <c r="J30" s="415">
        <f t="shared" si="4"/>
        <v>29.7</v>
      </c>
      <c r="K30" s="415"/>
      <c r="L30" s="416">
        <f>+SUM(L7:L29)</f>
        <v>0</v>
      </c>
      <c r="M30" s="414">
        <f>+SUM(M7:M29)</f>
        <v>4.5726</v>
      </c>
      <c r="N30" s="417">
        <f>+SUM(N7:N29)</f>
        <v>0.335</v>
      </c>
      <c r="O30" s="417">
        <f>+SUM(O7:O29)</f>
        <v>3.4156000000000004</v>
      </c>
      <c r="P30" s="417">
        <f>+SUM(P7:P29)</f>
        <v>0.8220000000000001</v>
      </c>
      <c r="Q30" s="417"/>
      <c r="R30" s="418">
        <f>+SUM(R7:R29)</f>
        <v>133</v>
      </c>
      <c r="S30" s="415">
        <f>+SUM(S7:S29)</f>
        <v>33.44</v>
      </c>
      <c r="T30" s="417">
        <f>+SUM(T7:T29)</f>
        <v>1.346</v>
      </c>
      <c r="U30" s="417">
        <f>+SUM(U7:U29)</f>
        <v>17.874</v>
      </c>
      <c r="V30" s="417">
        <f>+SUM(V7:V29)</f>
        <v>14.22</v>
      </c>
      <c r="W30" s="417"/>
      <c r="X30" s="418">
        <f>+SUM(X7:X29)</f>
        <v>4077</v>
      </c>
      <c r="Y30" s="419">
        <f t="shared" si="3"/>
        <v>0.3770436351336115</v>
      </c>
      <c r="Z30" s="420"/>
    </row>
    <row r="31" spans="2:26" ht="15">
      <c r="B31" s="170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</row>
    <row r="32" spans="2:25" ht="15">
      <c r="B32" s="162"/>
      <c r="R32" s="164"/>
      <c r="U32" s="36"/>
      <c r="X32" s="165"/>
      <c r="Y32" s="166"/>
    </row>
    <row r="33" spans="7:24" ht="15">
      <c r="G33" s="167"/>
      <c r="N33" s="36"/>
      <c r="S33" s="168"/>
      <c r="X33" s="169"/>
    </row>
  </sheetData>
  <sheetProtection/>
  <mergeCells count="23">
    <mergeCell ref="X5:X6"/>
    <mergeCell ref="M4:R4"/>
    <mergeCell ref="Z4:Z6"/>
    <mergeCell ref="H5:K5"/>
    <mergeCell ref="L5:L6"/>
    <mergeCell ref="M5:M6"/>
    <mergeCell ref="A1:Z1"/>
    <mergeCell ref="A2:Z2"/>
    <mergeCell ref="A3:Z3"/>
    <mergeCell ref="A4:A6"/>
    <mergeCell ref="B4:B6"/>
    <mergeCell ref="C4:F4"/>
    <mergeCell ref="G4:L4"/>
    <mergeCell ref="S4:X4"/>
    <mergeCell ref="Y4:Y6"/>
    <mergeCell ref="T5:W5"/>
    <mergeCell ref="A30:B30"/>
    <mergeCell ref="N5:Q5"/>
    <mergeCell ref="R5:R6"/>
    <mergeCell ref="S5:S6"/>
    <mergeCell ref="C5:C6"/>
    <mergeCell ref="D5:F5"/>
    <mergeCell ref="G5:G6"/>
  </mergeCells>
  <printOptions/>
  <pageMargins left="0.21" right="0.2" top="0.66" bottom="0.31" header="0.34" footer="0.2"/>
  <pageSetup horizontalDpi="600" verticalDpi="6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Z35"/>
  <sheetViews>
    <sheetView zoomScale="85" zoomScaleNormal="85" zoomScalePageLayoutView="0" workbookViewId="0" topLeftCell="A1">
      <selection activeCell="G8" sqref="G8"/>
    </sheetView>
  </sheetViews>
  <sheetFormatPr defaultColWidth="9.00390625" defaultRowHeight="14.25"/>
  <cols>
    <col min="1" max="1" width="3.625" style="26" customWidth="1"/>
    <col min="2" max="2" width="12.625" style="26" customWidth="1"/>
    <col min="3" max="3" width="0.12890625" style="163" hidden="1" customWidth="1"/>
    <col min="4" max="4" width="7.75390625" style="26" hidden="1" customWidth="1"/>
    <col min="5" max="5" width="7.50390625" style="26" hidden="1" customWidth="1"/>
    <col min="6" max="6" width="9.375" style="26" hidden="1" customWidth="1"/>
    <col min="7" max="7" width="6.125" style="163" customWidth="1"/>
    <col min="8" max="8" width="6.25390625" style="26" customWidth="1"/>
    <col min="9" max="9" width="5.375" style="26" customWidth="1"/>
    <col min="10" max="10" width="6.50390625" style="26" customWidth="1"/>
    <col min="11" max="11" width="6.125" style="26" customWidth="1"/>
    <col min="12" max="12" width="7.00390625" style="26" customWidth="1"/>
    <col min="13" max="13" width="4.875" style="163" customWidth="1"/>
    <col min="14" max="14" width="5.00390625" style="26" customWidth="1"/>
    <col min="15" max="15" width="5.375" style="26" customWidth="1"/>
    <col min="16" max="16" width="5.50390625" style="26" customWidth="1"/>
    <col min="17" max="17" width="5.75390625" style="26" customWidth="1"/>
    <col min="18" max="18" width="6.50390625" style="26" customWidth="1"/>
    <col min="19" max="19" width="5.75390625" style="163" customWidth="1"/>
    <col min="20" max="20" width="6.00390625" style="26" customWidth="1"/>
    <col min="21" max="21" width="5.125" style="26" customWidth="1"/>
    <col min="22" max="22" width="6.125" style="26" customWidth="1"/>
    <col min="23" max="23" width="5.625" style="26" customWidth="1"/>
    <col min="24" max="24" width="7.25390625" style="26" customWidth="1"/>
    <col min="25" max="25" width="7.375" style="26" customWidth="1"/>
    <col min="26" max="26" width="4.50390625" style="26" customWidth="1"/>
    <col min="27" max="16384" width="9.00390625" style="26" customWidth="1"/>
  </cols>
  <sheetData>
    <row r="1" spans="1:26" ht="30" customHeight="1">
      <c r="A1" s="856" t="s">
        <v>300</v>
      </c>
      <c r="B1" s="856"/>
      <c r="C1" s="856"/>
      <c r="D1" s="856"/>
      <c r="E1" s="856"/>
      <c r="F1" s="856"/>
      <c r="G1" s="856"/>
      <c r="H1" s="856"/>
      <c r="I1" s="856"/>
      <c r="J1" s="856"/>
      <c r="K1" s="856"/>
      <c r="L1" s="856"/>
      <c r="M1" s="856"/>
      <c r="N1" s="856"/>
      <c r="O1" s="856"/>
      <c r="P1" s="856"/>
      <c r="Q1" s="856"/>
      <c r="R1" s="856"/>
      <c r="S1" s="856"/>
      <c r="T1" s="856"/>
      <c r="U1" s="856"/>
      <c r="V1" s="856"/>
      <c r="W1" s="856"/>
      <c r="X1" s="856"/>
      <c r="Y1" s="856"/>
      <c r="Z1" s="856"/>
    </row>
    <row r="2" spans="1:26" s="148" customFormat="1" ht="22.5" customHeight="1">
      <c r="A2" s="857" t="s">
        <v>305</v>
      </c>
      <c r="B2" s="857"/>
      <c r="C2" s="857"/>
      <c r="D2" s="857"/>
      <c r="E2" s="857"/>
      <c r="F2" s="857"/>
      <c r="G2" s="857"/>
      <c r="H2" s="857"/>
      <c r="I2" s="857"/>
      <c r="J2" s="857"/>
      <c r="K2" s="857"/>
      <c r="L2" s="857"/>
      <c r="M2" s="857"/>
      <c r="N2" s="857"/>
      <c r="O2" s="857"/>
      <c r="P2" s="857"/>
      <c r="Q2" s="857"/>
      <c r="R2" s="857"/>
      <c r="S2" s="857"/>
      <c r="T2" s="857"/>
      <c r="U2" s="857"/>
      <c r="V2" s="857"/>
      <c r="W2" s="857"/>
      <c r="X2" s="857"/>
      <c r="Y2" s="857"/>
      <c r="Z2" s="857"/>
    </row>
    <row r="3" spans="1:26" s="148" customFormat="1" ht="22.5" customHeight="1">
      <c r="A3" s="858"/>
      <c r="B3" s="858"/>
      <c r="C3" s="858"/>
      <c r="D3" s="858"/>
      <c r="E3" s="858"/>
      <c r="F3" s="858"/>
      <c r="G3" s="858"/>
      <c r="H3" s="858"/>
      <c r="I3" s="858"/>
      <c r="J3" s="858"/>
      <c r="K3" s="858"/>
      <c r="L3" s="858"/>
      <c r="M3" s="858"/>
      <c r="N3" s="858"/>
      <c r="O3" s="858"/>
      <c r="P3" s="858"/>
      <c r="Q3" s="858"/>
      <c r="R3" s="858"/>
      <c r="S3" s="858"/>
      <c r="T3" s="858"/>
      <c r="U3" s="858"/>
      <c r="V3" s="858"/>
      <c r="W3" s="858"/>
      <c r="X3" s="858"/>
      <c r="Y3" s="858"/>
      <c r="Z3" s="858"/>
    </row>
    <row r="4" spans="1:26" s="151" customFormat="1" ht="33" customHeight="1">
      <c r="A4" s="933" t="s">
        <v>0</v>
      </c>
      <c r="B4" s="866" t="s">
        <v>160</v>
      </c>
      <c r="C4" s="922" t="s">
        <v>25</v>
      </c>
      <c r="D4" s="922"/>
      <c r="E4" s="922"/>
      <c r="F4" s="922"/>
      <c r="G4" s="934" t="s">
        <v>26</v>
      </c>
      <c r="H4" s="935"/>
      <c r="I4" s="935"/>
      <c r="J4" s="935"/>
      <c r="K4" s="935"/>
      <c r="L4" s="936"/>
      <c r="M4" s="934" t="s">
        <v>44</v>
      </c>
      <c r="N4" s="935"/>
      <c r="O4" s="935"/>
      <c r="P4" s="935"/>
      <c r="Q4" s="935"/>
      <c r="R4" s="936"/>
      <c r="S4" s="937" t="s">
        <v>45</v>
      </c>
      <c r="T4" s="938"/>
      <c r="U4" s="938"/>
      <c r="V4" s="938"/>
      <c r="W4" s="938"/>
      <c r="X4" s="939"/>
      <c r="Y4" s="866" t="s">
        <v>43</v>
      </c>
      <c r="Z4" s="866" t="s">
        <v>14</v>
      </c>
    </row>
    <row r="5" spans="1:26" s="151" customFormat="1" ht="15.75" customHeight="1">
      <c r="A5" s="933"/>
      <c r="B5" s="866"/>
      <c r="C5" s="922" t="s">
        <v>20</v>
      </c>
      <c r="D5" s="932" t="s">
        <v>21</v>
      </c>
      <c r="E5" s="932"/>
      <c r="F5" s="932"/>
      <c r="G5" s="866" t="s">
        <v>38</v>
      </c>
      <c r="H5" s="940" t="s">
        <v>21</v>
      </c>
      <c r="I5" s="940"/>
      <c r="J5" s="940"/>
      <c r="K5" s="940"/>
      <c r="L5" s="930" t="s">
        <v>202</v>
      </c>
      <c r="M5" s="866" t="s">
        <v>38</v>
      </c>
      <c r="N5" s="927" t="s">
        <v>21</v>
      </c>
      <c r="O5" s="928"/>
      <c r="P5" s="928"/>
      <c r="Q5" s="929"/>
      <c r="R5" s="930" t="s">
        <v>37</v>
      </c>
      <c r="S5" s="866" t="s">
        <v>38</v>
      </c>
      <c r="T5" s="927" t="s">
        <v>21</v>
      </c>
      <c r="U5" s="928"/>
      <c r="V5" s="928"/>
      <c r="W5" s="929"/>
      <c r="X5" s="930" t="s">
        <v>37</v>
      </c>
      <c r="Y5" s="866"/>
      <c r="Z5" s="866"/>
    </row>
    <row r="6" spans="1:26" s="151" customFormat="1" ht="102">
      <c r="A6" s="933"/>
      <c r="B6" s="866"/>
      <c r="C6" s="922"/>
      <c r="D6" s="371" t="s">
        <v>17</v>
      </c>
      <c r="E6" s="371" t="s">
        <v>18</v>
      </c>
      <c r="F6" s="371" t="s">
        <v>19</v>
      </c>
      <c r="G6" s="866"/>
      <c r="H6" s="370" t="s">
        <v>39</v>
      </c>
      <c r="I6" s="370" t="s">
        <v>40</v>
      </c>
      <c r="J6" s="370" t="s">
        <v>41</v>
      </c>
      <c r="K6" s="370" t="s">
        <v>42</v>
      </c>
      <c r="L6" s="931"/>
      <c r="M6" s="866"/>
      <c r="N6" s="370" t="s">
        <v>39</v>
      </c>
      <c r="O6" s="370" t="s">
        <v>40</v>
      </c>
      <c r="P6" s="370" t="s">
        <v>41</v>
      </c>
      <c r="Q6" s="370" t="s">
        <v>42</v>
      </c>
      <c r="R6" s="931"/>
      <c r="S6" s="866"/>
      <c r="T6" s="370" t="s">
        <v>39</v>
      </c>
      <c r="U6" s="370" t="s">
        <v>40</v>
      </c>
      <c r="V6" s="370" t="s">
        <v>41</v>
      </c>
      <c r="W6" s="370" t="s">
        <v>42</v>
      </c>
      <c r="X6" s="931"/>
      <c r="Y6" s="866"/>
      <c r="Z6" s="866"/>
    </row>
    <row r="7" spans="1:26" s="68" customFormat="1" ht="24" customHeight="1">
      <c r="A7" s="372">
        <v>1</v>
      </c>
      <c r="B7" s="373" t="s">
        <v>218</v>
      </c>
      <c r="C7" s="374"/>
      <c r="D7" s="375"/>
      <c r="E7" s="375"/>
      <c r="F7" s="375"/>
      <c r="G7" s="376">
        <f aca="true" t="shared" si="0" ref="G7:G31">SUM(H7:J7)</f>
        <v>1.5</v>
      </c>
      <c r="H7" s="377">
        <v>0.5</v>
      </c>
      <c r="I7" s="377">
        <v>0.5</v>
      </c>
      <c r="J7" s="377">
        <v>0.5</v>
      </c>
      <c r="K7" s="378"/>
      <c r="L7" s="379"/>
      <c r="M7" s="380">
        <f aca="true" t="shared" si="1" ref="M7:M31">SUM(N7:Q7)</f>
        <v>0</v>
      </c>
      <c r="N7" s="381"/>
      <c r="O7" s="381"/>
      <c r="P7" s="381"/>
      <c r="Q7" s="382"/>
      <c r="R7" s="381"/>
      <c r="S7" s="380">
        <f aca="true" t="shared" si="2" ref="S7:S31">SUM(T7:W7)</f>
        <v>0</v>
      </c>
      <c r="T7" s="383"/>
      <c r="U7" s="383"/>
      <c r="V7" s="383"/>
      <c r="W7" s="384"/>
      <c r="X7" s="383"/>
      <c r="Y7" s="385">
        <f aca="true" t="shared" si="3" ref="Y7:Y32">+S7/G7</f>
        <v>0</v>
      </c>
      <c r="Z7" s="386"/>
    </row>
    <row r="8" spans="1:26" s="68" customFormat="1" ht="18" customHeight="1">
      <c r="A8" s="387">
        <v>2</v>
      </c>
      <c r="B8" s="312" t="s">
        <v>219</v>
      </c>
      <c r="C8" s="388"/>
      <c r="D8" s="389"/>
      <c r="E8" s="389"/>
      <c r="F8" s="389"/>
      <c r="G8" s="390">
        <f t="shared" si="0"/>
        <v>14.239999999999998</v>
      </c>
      <c r="H8" s="391"/>
      <c r="I8" s="391">
        <v>1.21</v>
      </c>
      <c r="J8" s="391">
        <v>13.03</v>
      </c>
      <c r="K8" s="389"/>
      <c r="L8" s="392"/>
      <c r="M8" s="393">
        <f t="shared" si="1"/>
        <v>0.7</v>
      </c>
      <c r="N8" s="391"/>
      <c r="O8" s="391"/>
      <c r="P8" s="391">
        <v>0.7</v>
      </c>
      <c r="Q8" s="394"/>
      <c r="R8" s="391"/>
      <c r="S8" s="393">
        <f t="shared" si="2"/>
        <v>3.7</v>
      </c>
      <c r="T8" s="395"/>
      <c r="U8" s="395"/>
      <c r="V8" s="395">
        <v>3.7</v>
      </c>
      <c r="W8" s="394"/>
      <c r="X8" s="391">
        <v>674.95</v>
      </c>
      <c r="Y8" s="396">
        <f t="shared" si="3"/>
        <v>0.25983146067415736</v>
      </c>
      <c r="Z8" s="397"/>
    </row>
    <row r="9" spans="1:26" ht="24.75" customHeight="1">
      <c r="A9" s="387">
        <v>3</v>
      </c>
      <c r="B9" s="312" t="s">
        <v>220</v>
      </c>
      <c r="C9" s="388"/>
      <c r="D9" s="398"/>
      <c r="E9" s="398"/>
      <c r="F9" s="398"/>
      <c r="G9" s="390">
        <f t="shared" si="0"/>
        <v>10.219999999999999</v>
      </c>
      <c r="H9" s="391">
        <v>3.1</v>
      </c>
      <c r="I9" s="391">
        <v>6.67</v>
      </c>
      <c r="J9" s="391">
        <v>0.45</v>
      </c>
      <c r="K9" s="398"/>
      <c r="L9" s="392"/>
      <c r="M9" s="393">
        <f t="shared" si="1"/>
        <v>0.45</v>
      </c>
      <c r="N9" s="391"/>
      <c r="O9" s="391"/>
      <c r="P9" s="391">
        <v>0.45</v>
      </c>
      <c r="Q9" s="394"/>
      <c r="R9" s="399"/>
      <c r="S9" s="393">
        <f t="shared" si="2"/>
        <v>0.45</v>
      </c>
      <c r="T9" s="395"/>
      <c r="U9" s="395"/>
      <c r="V9" s="395">
        <v>0.45</v>
      </c>
      <c r="W9" s="394"/>
      <c r="X9" s="391">
        <v>150</v>
      </c>
      <c r="Y9" s="396">
        <f t="shared" si="3"/>
        <v>0.04403131115459883</v>
      </c>
      <c r="Z9" s="400"/>
    </row>
    <row r="10" spans="1:26" ht="21.75" customHeight="1">
      <c r="A10" s="387">
        <v>4</v>
      </c>
      <c r="B10" s="312" t="s">
        <v>221</v>
      </c>
      <c r="C10" s="388"/>
      <c r="D10" s="398"/>
      <c r="E10" s="398"/>
      <c r="F10" s="398"/>
      <c r="G10" s="390">
        <f t="shared" si="0"/>
        <v>3.84</v>
      </c>
      <c r="H10" s="391">
        <v>1.3</v>
      </c>
      <c r="I10" s="391">
        <v>0.24</v>
      </c>
      <c r="J10" s="391">
        <v>2.3</v>
      </c>
      <c r="K10" s="398"/>
      <c r="L10" s="392"/>
      <c r="M10" s="393">
        <f t="shared" si="1"/>
        <v>0.62</v>
      </c>
      <c r="N10" s="391"/>
      <c r="O10" s="391"/>
      <c r="P10" s="391">
        <v>0.62</v>
      </c>
      <c r="Q10" s="394"/>
      <c r="R10" s="399"/>
      <c r="S10" s="393">
        <f t="shared" si="2"/>
        <v>0.62</v>
      </c>
      <c r="T10" s="395"/>
      <c r="U10" s="395"/>
      <c r="V10" s="395">
        <v>0.62</v>
      </c>
      <c r="W10" s="394"/>
      <c r="X10" s="391">
        <v>90</v>
      </c>
      <c r="Y10" s="396">
        <f t="shared" si="3"/>
        <v>0.16145833333333334</v>
      </c>
      <c r="Z10" s="400"/>
    </row>
    <row r="11" spans="1:26" s="68" customFormat="1" ht="21.75" customHeight="1">
      <c r="A11" s="387">
        <v>5</v>
      </c>
      <c r="B11" s="312" t="s">
        <v>222</v>
      </c>
      <c r="C11" s="388"/>
      <c r="D11" s="389"/>
      <c r="E11" s="389"/>
      <c r="F11" s="389"/>
      <c r="G11" s="390">
        <f t="shared" si="0"/>
        <v>1.7730000000000001</v>
      </c>
      <c r="H11" s="391">
        <v>1</v>
      </c>
      <c r="I11" s="391"/>
      <c r="J11" s="391">
        <v>0.773</v>
      </c>
      <c r="K11" s="389"/>
      <c r="L11" s="392"/>
      <c r="M11" s="393">
        <f t="shared" si="1"/>
        <v>0</v>
      </c>
      <c r="N11" s="391"/>
      <c r="O11" s="391"/>
      <c r="P11" s="391"/>
      <c r="Q11" s="394"/>
      <c r="R11" s="399"/>
      <c r="S11" s="393">
        <f t="shared" si="2"/>
        <v>0</v>
      </c>
      <c r="T11" s="395"/>
      <c r="U11" s="395"/>
      <c r="V11" s="395"/>
      <c r="W11" s="394"/>
      <c r="X11" s="391">
        <v>0</v>
      </c>
      <c r="Y11" s="396">
        <f t="shared" si="3"/>
        <v>0</v>
      </c>
      <c r="Z11" s="397"/>
    </row>
    <row r="12" spans="1:26" s="68" customFormat="1" ht="21.75" customHeight="1">
      <c r="A12" s="387">
        <v>6</v>
      </c>
      <c r="B12" s="312" t="s">
        <v>223</v>
      </c>
      <c r="C12" s="388"/>
      <c r="D12" s="389"/>
      <c r="E12" s="389"/>
      <c r="F12" s="389"/>
      <c r="G12" s="390">
        <f t="shared" si="0"/>
        <v>2.175</v>
      </c>
      <c r="H12" s="391"/>
      <c r="I12" s="391">
        <v>1.115</v>
      </c>
      <c r="J12" s="391">
        <v>1.06</v>
      </c>
      <c r="K12" s="389"/>
      <c r="L12" s="392"/>
      <c r="M12" s="393">
        <f t="shared" si="1"/>
        <v>0.25</v>
      </c>
      <c r="N12" s="391"/>
      <c r="O12" s="391"/>
      <c r="P12" s="391">
        <v>0.25</v>
      </c>
      <c r="Q12" s="394"/>
      <c r="R12" s="399"/>
      <c r="S12" s="393">
        <f t="shared" si="2"/>
        <v>1.7000000000000002</v>
      </c>
      <c r="T12" s="395"/>
      <c r="U12" s="395">
        <v>1.1</v>
      </c>
      <c r="V12" s="395">
        <v>0.6</v>
      </c>
      <c r="W12" s="394"/>
      <c r="X12" s="391">
        <v>35.9</v>
      </c>
      <c r="Y12" s="396">
        <f t="shared" si="3"/>
        <v>0.781609195402299</v>
      </c>
      <c r="Z12" s="397"/>
    </row>
    <row r="13" spans="1:26" s="68" customFormat="1" ht="21.75" customHeight="1">
      <c r="A13" s="387">
        <v>7</v>
      </c>
      <c r="B13" s="312" t="s">
        <v>224</v>
      </c>
      <c r="C13" s="388"/>
      <c r="D13" s="389"/>
      <c r="E13" s="389"/>
      <c r="F13" s="389"/>
      <c r="G13" s="390">
        <f t="shared" si="0"/>
        <v>0.75</v>
      </c>
      <c r="H13" s="391"/>
      <c r="I13" s="391"/>
      <c r="J13" s="391">
        <v>0.75</v>
      </c>
      <c r="K13" s="389"/>
      <c r="L13" s="392"/>
      <c r="M13" s="393">
        <f t="shared" si="1"/>
        <v>0</v>
      </c>
      <c r="N13" s="391"/>
      <c r="O13" s="391"/>
      <c r="P13" s="391"/>
      <c r="Q13" s="394"/>
      <c r="R13" s="399"/>
      <c r="S13" s="393">
        <f t="shared" si="2"/>
        <v>1.7</v>
      </c>
      <c r="T13" s="395"/>
      <c r="U13" s="395">
        <v>1.7</v>
      </c>
      <c r="V13" s="395"/>
      <c r="W13" s="394"/>
      <c r="X13" s="391">
        <v>0</v>
      </c>
      <c r="Y13" s="396">
        <f t="shared" si="3"/>
        <v>2.2666666666666666</v>
      </c>
      <c r="Z13" s="397"/>
    </row>
    <row r="14" spans="1:26" s="68" customFormat="1" ht="21.75" customHeight="1">
      <c r="A14" s="387">
        <v>8</v>
      </c>
      <c r="B14" s="312" t="s">
        <v>225</v>
      </c>
      <c r="C14" s="388"/>
      <c r="D14" s="389"/>
      <c r="E14" s="389"/>
      <c r="F14" s="389"/>
      <c r="G14" s="390">
        <f t="shared" si="0"/>
        <v>2.34</v>
      </c>
      <c r="H14" s="391">
        <v>1.14</v>
      </c>
      <c r="I14" s="391">
        <v>0.6</v>
      </c>
      <c r="J14" s="391">
        <v>0.6</v>
      </c>
      <c r="K14" s="389"/>
      <c r="L14" s="392"/>
      <c r="M14" s="393">
        <f t="shared" si="1"/>
        <v>0.63</v>
      </c>
      <c r="N14" s="391"/>
      <c r="O14" s="391">
        <v>0.25</v>
      </c>
      <c r="P14" s="391">
        <v>0.38</v>
      </c>
      <c r="Q14" s="394"/>
      <c r="R14" s="399"/>
      <c r="S14" s="393">
        <f t="shared" si="2"/>
        <v>0.63</v>
      </c>
      <c r="T14" s="395"/>
      <c r="U14" s="391">
        <v>0.25</v>
      </c>
      <c r="V14" s="391">
        <v>0.38</v>
      </c>
      <c r="W14" s="394"/>
      <c r="X14" s="391">
        <v>90</v>
      </c>
      <c r="Y14" s="396">
        <f t="shared" si="3"/>
        <v>0.2692307692307693</v>
      </c>
      <c r="Z14" s="397"/>
    </row>
    <row r="15" spans="1:26" s="68" customFormat="1" ht="21.75" customHeight="1">
      <c r="A15" s="387">
        <v>9</v>
      </c>
      <c r="B15" s="312" t="s">
        <v>226</v>
      </c>
      <c r="C15" s="388"/>
      <c r="D15" s="389"/>
      <c r="E15" s="389"/>
      <c r="F15" s="389"/>
      <c r="G15" s="390">
        <f t="shared" si="0"/>
        <v>9.13</v>
      </c>
      <c r="H15" s="391"/>
      <c r="I15" s="391">
        <v>1.18</v>
      </c>
      <c r="J15" s="391">
        <v>7.95</v>
      </c>
      <c r="K15" s="389"/>
      <c r="L15" s="392"/>
      <c r="M15" s="393">
        <f t="shared" si="1"/>
        <v>0</v>
      </c>
      <c r="N15" s="391"/>
      <c r="O15" s="391"/>
      <c r="P15" s="391"/>
      <c r="Q15" s="394"/>
      <c r="R15" s="399"/>
      <c r="S15" s="393">
        <f t="shared" si="2"/>
        <v>0</v>
      </c>
      <c r="T15" s="395"/>
      <c r="U15" s="395"/>
      <c r="V15" s="395"/>
      <c r="W15" s="394"/>
      <c r="X15" s="391">
        <v>0</v>
      </c>
      <c r="Y15" s="396">
        <f t="shared" si="3"/>
        <v>0</v>
      </c>
      <c r="Z15" s="397"/>
    </row>
    <row r="16" spans="1:26" s="68" customFormat="1" ht="21.75" customHeight="1">
      <c r="A16" s="387">
        <v>10</v>
      </c>
      <c r="B16" s="312" t="s">
        <v>227</v>
      </c>
      <c r="C16" s="388"/>
      <c r="D16" s="389"/>
      <c r="E16" s="389"/>
      <c r="F16" s="389"/>
      <c r="G16" s="390">
        <f t="shared" si="0"/>
        <v>2.3499999999999996</v>
      </c>
      <c r="H16" s="391">
        <v>0.8</v>
      </c>
      <c r="I16" s="391">
        <v>0.85</v>
      </c>
      <c r="J16" s="391">
        <v>0.7</v>
      </c>
      <c r="K16" s="389"/>
      <c r="L16" s="392"/>
      <c r="M16" s="393">
        <f t="shared" si="1"/>
        <v>0</v>
      </c>
      <c r="N16" s="391"/>
      <c r="O16" s="391"/>
      <c r="P16" s="391"/>
      <c r="Q16" s="394"/>
      <c r="R16" s="399"/>
      <c r="S16" s="393">
        <f t="shared" si="2"/>
        <v>0</v>
      </c>
      <c r="T16" s="395"/>
      <c r="U16" s="395"/>
      <c r="V16" s="395"/>
      <c r="W16" s="394"/>
      <c r="X16" s="391">
        <v>0</v>
      </c>
      <c r="Y16" s="396">
        <f t="shared" si="3"/>
        <v>0</v>
      </c>
      <c r="Z16" s="397"/>
    </row>
    <row r="17" spans="1:26" s="68" customFormat="1" ht="21.75" customHeight="1">
      <c r="A17" s="387">
        <v>11</v>
      </c>
      <c r="B17" s="312" t="s">
        <v>228</v>
      </c>
      <c r="C17" s="388"/>
      <c r="D17" s="389"/>
      <c r="E17" s="389"/>
      <c r="F17" s="389"/>
      <c r="G17" s="390">
        <f t="shared" si="0"/>
        <v>5.3</v>
      </c>
      <c r="H17" s="391">
        <v>1.2</v>
      </c>
      <c r="I17" s="391">
        <v>0.8</v>
      </c>
      <c r="J17" s="391">
        <v>3.3</v>
      </c>
      <c r="K17" s="389"/>
      <c r="L17" s="392"/>
      <c r="M17" s="393">
        <f t="shared" si="1"/>
        <v>0</v>
      </c>
      <c r="N17" s="391"/>
      <c r="O17" s="391"/>
      <c r="P17" s="391"/>
      <c r="Q17" s="394"/>
      <c r="R17" s="399"/>
      <c r="S17" s="393">
        <f t="shared" si="2"/>
        <v>0</v>
      </c>
      <c r="T17" s="395"/>
      <c r="U17" s="395"/>
      <c r="V17" s="395"/>
      <c r="W17" s="394"/>
      <c r="X17" s="391">
        <v>0</v>
      </c>
      <c r="Y17" s="396">
        <f t="shared" si="3"/>
        <v>0</v>
      </c>
      <c r="Z17" s="397"/>
    </row>
    <row r="18" spans="1:26" s="68" customFormat="1" ht="21.75" customHeight="1">
      <c r="A18" s="387">
        <v>12</v>
      </c>
      <c r="B18" s="312" t="s">
        <v>229</v>
      </c>
      <c r="C18" s="388"/>
      <c r="D18" s="389"/>
      <c r="E18" s="389"/>
      <c r="F18" s="389"/>
      <c r="G18" s="390">
        <f t="shared" si="0"/>
        <v>2.3499999999999996</v>
      </c>
      <c r="H18" s="391">
        <v>0.7</v>
      </c>
      <c r="I18" s="391">
        <v>1.65</v>
      </c>
      <c r="J18" s="391"/>
      <c r="K18" s="389"/>
      <c r="L18" s="392"/>
      <c r="M18" s="393">
        <f t="shared" si="1"/>
        <v>0</v>
      </c>
      <c r="N18" s="391"/>
      <c r="O18" s="391"/>
      <c r="P18" s="391"/>
      <c r="Q18" s="394"/>
      <c r="R18" s="399"/>
      <c r="S18" s="393">
        <f t="shared" si="2"/>
        <v>0</v>
      </c>
      <c r="T18" s="395"/>
      <c r="U18" s="395"/>
      <c r="V18" s="395"/>
      <c r="W18" s="394"/>
      <c r="X18" s="391">
        <v>0</v>
      </c>
      <c r="Y18" s="396">
        <f t="shared" si="3"/>
        <v>0</v>
      </c>
      <c r="Z18" s="397"/>
    </row>
    <row r="19" spans="1:26" s="68" customFormat="1" ht="21.75" customHeight="1">
      <c r="A19" s="387">
        <v>13</v>
      </c>
      <c r="B19" s="312" t="s">
        <v>230</v>
      </c>
      <c r="C19" s="388"/>
      <c r="D19" s="389"/>
      <c r="E19" s="389"/>
      <c r="F19" s="389"/>
      <c r="G19" s="390">
        <f t="shared" si="0"/>
        <v>4.98</v>
      </c>
      <c r="H19" s="391"/>
      <c r="I19" s="391">
        <v>1.6</v>
      </c>
      <c r="J19" s="391">
        <v>3.38</v>
      </c>
      <c r="K19" s="389"/>
      <c r="L19" s="392"/>
      <c r="M19" s="393">
        <f t="shared" si="1"/>
        <v>0</v>
      </c>
      <c r="N19" s="391"/>
      <c r="O19" s="391"/>
      <c r="P19" s="391"/>
      <c r="Q19" s="394"/>
      <c r="R19" s="399"/>
      <c r="S19" s="393">
        <f t="shared" si="2"/>
        <v>2.5</v>
      </c>
      <c r="T19" s="395"/>
      <c r="U19" s="395">
        <v>2.5</v>
      </c>
      <c r="V19" s="395"/>
      <c r="W19" s="394"/>
      <c r="X19" s="391">
        <v>0</v>
      </c>
      <c r="Y19" s="396">
        <f t="shared" si="3"/>
        <v>0.502008032128514</v>
      </c>
      <c r="Z19" s="397"/>
    </row>
    <row r="20" spans="1:26" s="68" customFormat="1" ht="21.75" customHeight="1">
      <c r="A20" s="387">
        <v>14</v>
      </c>
      <c r="B20" s="312" t="s">
        <v>231</v>
      </c>
      <c r="C20" s="388"/>
      <c r="D20" s="389"/>
      <c r="E20" s="389"/>
      <c r="F20" s="389"/>
      <c r="G20" s="390">
        <f t="shared" si="0"/>
        <v>3.1</v>
      </c>
      <c r="H20" s="391"/>
      <c r="I20" s="391"/>
      <c r="J20" s="391">
        <v>3.1</v>
      </c>
      <c r="K20" s="389"/>
      <c r="L20" s="392"/>
      <c r="M20" s="393">
        <f t="shared" si="1"/>
        <v>0</v>
      </c>
      <c r="N20" s="391"/>
      <c r="O20" s="391"/>
      <c r="P20" s="391"/>
      <c r="Q20" s="394"/>
      <c r="R20" s="399"/>
      <c r="S20" s="393">
        <f t="shared" si="2"/>
        <v>3</v>
      </c>
      <c r="T20" s="395"/>
      <c r="U20" s="395">
        <v>3</v>
      </c>
      <c r="V20" s="395"/>
      <c r="W20" s="394"/>
      <c r="X20" s="391">
        <v>0</v>
      </c>
      <c r="Y20" s="396">
        <f t="shared" si="3"/>
        <v>0.9677419354838709</v>
      </c>
      <c r="Z20" s="397"/>
    </row>
    <row r="21" spans="1:26" s="68" customFormat="1" ht="21.75" customHeight="1">
      <c r="A21" s="387">
        <v>15</v>
      </c>
      <c r="B21" s="312" t="s">
        <v>232</v>
      </c>
      <c r="C21" s="388"/>
      <c r="D21" s="389"/>
      <c r="E21" s="389"/>
      <c r="F21" s="389"/>
      <c r="G21" s="390">
        <f t="shared" si="0"/>
        <v>6.47</v>
      </c>
      <c r="H21" s="391">
        <v>3.02</v>
      </c>
      <c r="I21" s="391">
        <v>2.75</v>
      </c>
      <c r="J21" s="391">
        <v>0.7</v>
      </c>
      <c r="K21" s="389"/>
      <c r="L21" s="392"/>
      <c r="M21" s="393">
        <f t="shared" si="1"/>
        <v>0</v>
      </c>
      <c r="N21" s="391"/>
      <c r="O21" s="391"/>
      <c r="P21" s="391"/>
      <c r="Q21" s="394"/>
      <c r="R21" s="399"/>
      <c r="S21" s="393">
        <f t="shared" si="2"/>
        <v>1.1</v>
      </c>
      <c r="T21" s="395"/>
      <c r="U21" s="395">
        <v>1.1</v>
      </c>
      <c r="V21" s="395"/>
      <c r="W21" s="394"/>
      <c r="X21" s="391">
        <v>0</v>
      </c>
      <c r="Y21" s="396">
        <f t="shared" si="3"/>
        <v>0.170015455950541</v>
      </c>
      <c r="Z21" s="397"/>
    </row>
    <row r="22" spans="1:26" s="68" customFormat="1" ht="21.75" customHeight="1">
      <c r="A22" s="387">
        <v>16</v>
      </c>
      <c r="B22" s="312" t="s">
        <v>233</v>
      </c>
      <c r="C22" s="388"/>
      <c r="D22" s="389"/>
      <c r="E22" s="389"/>
      <c r="F22" s="389"/>
      <c r="G22" s="390">
        <f t="shared" si="0"/>
        <v>6.74</v>
      </c>
      <c r="H22" s="391"/>
      <c r="I22" s="391">
        <v>5.14</v>
      </c>
      <c r="J22" s="391">
        <v>1.6</v>
      </c>
      <c r="K22" s="389"/>
      <c r="L22" s="392"/>
      <c r="M22" s="393">
        <f t="shared" si="1"/>
        <v>0.9</v>
      </c>
      <c r="N22" s="391"/>
      <c r="O22" s="391">
        <v>0.9</v>
      </c>
      <c r="P22" s="391"/>
      <c r="Q22" s="394"/>
      <c r="R22" s="399"/>
      <c r="S22" s="393">
        <f t="shared" si="2"/>
        <v>0.9</v>
      </c>
      <c r="T22" s="395"/>
      <c r="U22" s="395">
        <v>0.9</v>
      </c>
      <c r="V22" s="395"/>
      <c r="W22" s="394"/>
      <c r="X22" s="391">
        <v>220</v>
      </c>
      <c r="Y22" s="396">
        <f t="shared" si="3"/>
        <v>0.13353115727002968</v>
      </c>
      <c r="Z22" s="397"/>
    </row>
    <row r="23" spans="1:26" s="68" customFormat="1" ht="21.75" customHeight="1">
      <c r="A23" s="387">
        <v>17</v>
      </c>
      <c r="B23" s="312" t="s">
        <v>234</v>
      </c>
      <c r="C23" s="388"/>
      <c r="D23" s="389"/>
      <c r="E23" s="389"/>
      <c r="F23" s="389"/>
      <c r="G23" s="390">
        <f t="shared" si="0"/>
        <v>5.475</v>
      </c>
      <c r="H23" s="391">
        <v>0.475</v>
      </c>
      <c r="I23" s="391">
        <v>5</v>
      </c>
      <c r="J23" s="391"/>
      <c r="K23" s="389"/>
      <c r="L23" s="392"/>
      <c r="M23" s="393">
        <f t="shared" si="1"/>
        <v>1.2</v>
      </c>
      <c r="N23" s="391"/>
      <c r="O23" s="391">
        <v>1.2</v>
      </c>
      <c r="P23" s="391"/>
      <c r="Q23" s="394"/>
      <c r="R23" s="399"/>
      <c r="S23" s="393">
        <f t="shared" si="2"/>
        <v>5</v>
      </c>
      <c r="T23" s="395"/>
      <c r="U23" s="395">
        <v>5</v>
      </c>
      <c r="V23" s="395"/>
      <c r="W23" s="394"/>
      <c r="X23" s="391">
        <v>160</v>
      </c>
      <c r="Y23" s="396">
        <f t="shared" si="3"/>
        <v>0.9132420091324202</v>
      </c>
      <c r="Z23" s="397"/>
    </row>
    <row r="24" spans="1:26" s="68" customFormat="1" ht="21.75" customHeight="1">
      <c r="A24" s="387">
        <v>18</v>
      </c>
      <c r="B24" s="312" t="s">
        <v>235</v>
      </c>
      <c r="C24" s="388"/>
      <c r="D24" s="389"/>
      <c r="E24" s="389"/>
      <c r="F24" s="389"/>
      <c r="G24" s="390">
        <f t="shared" si="0"/>
        <v>5</v>
      </c>
      <c r="H24" s="391"/>
      <c r="I24" s="391">
        <v>1.7</v>
      </c>
      <c r="J24" s="391">
        <v>3.3</v>
      </c>
      <c r="K24" s="389"/>
      <c r="L24" s="392"/>
      <c r="M24" s="393">
        <f t="shared" si="1"/>
        <v>0</v>
      </c>
      <c r="N24" s="391"/>
      <c r="O24" s="391"/>
      <c r="P24" s="391"/>
      <c r="Q24" s="394"/>
      <c r="R24" s="399"/>
      <c r="S24" s="393">
        <f t="shared" si="2"/>
        <v>0</v>
      </c>
      <c r="T24" s="395"/>
      <c r="U24" s="395"/>
      <c r="V24" s="395"/>
      <c r="W24" s="394"/>
      <c r="X24" s="391">
        <v>0</v>
      </c>
      <c r="Y24" s="396">
        <f t="shared" si="3"/>
        <v>0</v>
      </c>
      <c r="Z24" s="397"/>
    </row>
    <row r="25" spans="1:26" s="68" customFormat="1" ht="21.75" customHeight="1">
      <c r="A25" s="387">
        <v>19</v>
      </c>
      <c r="B25" s="312" t="s">
        <v>236</v>
      </c>
      <c r="C25" s="388"/>
      <c r="D25" s="389"/>
      <c r="E25" s="389"/>
      <c r="F25" s="389"/>
      <c r="G25" s="390">
        <f t="shared" si="0"/>
        <v>3.8499999999999996</v>
      </c>
      <c r="H25" s="391">
        <v>1.4</v>
      </c>
      <c r="I25" s="391">
        <v>0.52</v>
      </c>
      <c r="J25" s="391">
        <v>1.93</v>
      </c>
      <c r="K25" s="389"/>
      <c r="L25" s="392"/>
      <c r="M25" s="393">
        <f t="shared" si="1"/>
        <v>0</v>
      </c>
      <c r="N25" s="391"/>
      <c r="O25" s="391"/>
      <c r="P25" s="391"/>
      <c r="Q25" s="394"/>
      <c r="R25" s="399"/>
      <c r="S25" s="393">
        <f t="shared" si="2"/>
        <v>0</v>
      </c>
      <c r="T25" s="395"/>
      <c r="U25" s="395"/>
      <c r="V25" s="395"/>
      <c r="W25" s="394"/>
      <c r="X25" s="391">
        <v>75</v>
      </c>
      <c r="Y25" s="396">
        <f t="shared" si="3"/>
        <v>0</v>
      </c>
      <c r="Z25" s="397"/>
    </row>
    <row r="26" spans="1:26" s="68" customFormat="1" ht="21.75" customHeight="1">
      <c r="A26" s="387">
        <v>20</v>
      </c>
      <c r="B26" s="312" t="s">
        <v>237</v>
      </c>
      <c r="C26" s="388"/>
      <c r="D26" s="389"/>
      <c r="E26" s="389"/>
      <c r="F26" s="389"/>
      <c r="G26" s="390">
        <f t="shared" si="0"/>
        <v>6.18</v>
      </c>
      <c r="H26" s="391">
        <v>0.3</v>
      </c>
      <c r="I26" s="391">
        <v>5.28</v>
      </c>
      <c r="J26" s="391">
        <v>0.6</v>
      </c>
      <c r="K26" s="389"/>
      <c r="L26" s="392"/>
      <c r="M26" s="393">
        <f t="shared" si="1"/>
        <v>0</v>
      </c>
      <c r="N26" s="391"/>
      <c r="O26" s="391"/>
      <c r="P26" s="391"/>
      <c r="Q26" s="394"/>
      <c r="R26" s="399"/>
      <c r="S26" s="393">
        <f t="shared" si="2"/>
        <v>0.91</v>
      </c>
      <c r="T26" s="395"/>
      <c r="U26" s="395">
        <v>0.91</v>
      </c>
      <c r="V26" s="395"/>
      <c r="W26" s="394"/>
      <c r="X26" s="391">
        <v>0</v>
      </c>
      <c r="Y26" s="396">
        <f t="shared" si="3"/>
        <v>0.14724919093851133</v>
      </c>
      <c r="Z26" s="397"/>
    </row>
    <row r="27" spans="1:26" s="68" customFormat="1" ht="21.75" customHeight="1">
      <c r="A27" s="387">
        <v>21</v>
      </c>
      <c r="B27" s="312" t="s">
        <v>238</v>
      </c>
      <c r="C27" s="388"/>
      <c r="D27" s="389"/>
      <c r="E27" s="389"/>
      <c r="F27" s="389"/>
      <c r="G27" s="390">
        <f t="shared" si="0"/>
        <v>12.004999999999999</v>
      </c>
      <c r="H27" s="391">
        <v>7.64</v>
      </c>
      <c r="I27" s="391">
        <v>0.815</v>
      </c>
      <c r="J27" s="391">
        <v>3.55</v>
      </c>
      <c r="K27" s="389"/>
      <c r="L27" s="392"/>
      <c r="M27" s="393">
        <f t="shared" si="1"/>
        <v>0.2</v>
      </c>
      <c r="N27" s="391">
        <v>0.2</v>
      </c>
      <c r="O27" s="391"/>
      <c r="P27" s="391"/>
      <c r="Q27" s="394"/>
      <c r="R27" s="399"/>
      <c r="S27" s="393">
        <f t="shared" si="2"/>
        <v>3.2</v>
      </c>
      <c r="T27" s="395">
        <v>1.7</v>
      </c>
      <c r="U27" s="395"/>
      <c r="V27" s="395">
        <v>1.5</v>
      </c>
      <c r="W27" s="394"/>
      <c r="X27" s="391">
        <v>435</v>
      </c>
      <c r="Y27" s="396">
        <f t="shared" si="3"/>
        <v>0.2665556018325698</v>
      </c>
      <c r="Z27" s="397"/>
    </row>
    <row r="28" spans="1:26" s="68" customFormat="1" ht="21.75" customHeight="1">
      <c r="A28" s="387">
        <v>22</v>
      </c>
      <c r="B28" s="312" t="s">
        <v>239</v>
      </c>
      <c r="C28" s="388"/>
      <c r="D28" s="389"/>
      <c r="E28" s="389"/>
      <c r="F28" s="389"/>
      <c r="G28" s="390">
        <f t="shared" si="0"/>
        <v>3.5</v>
      </c>
      <c r="H28" s="391"/>
      <c r="I28" s="391">
        <v>2.5</v>
      </c>
      <c r="J28" s="391">
        <v>1</v>
      </c>
      <c r="K28" s="389"/>
      <c r="L28" s="392"/>
      <c r="M28" s="393">
        <f t="shared" si="1"/>
        <v>0</v>
      </c>
      <c r="N28" s="391"/>
      <c r="O28" s="391"/>
      <c r="P28" s="391"/>
      <c r="Q28" s="394"/>
      <c r="R28" s="399"/>
      <c r="S28" s="393">
        <f t="shared" si="2"/>
        <v>0</v>
      </c>
      <c r="T28" s="395"/>
      <c r="U28" s="395"/>
      <c r="V28" s="395"/>
      <c r="W28" s="394"/>
      <c r="X28" s="391">
        <v>0</v>
      </c>
      <c r="Y28" s="396">
        <f t="shared" si="3"/>
        <v>0</v>
      </c>
      <c r="Z28" s="397"/>
    </row>
    <row r="29" spans="1:26" s="68" customFormat="1" ht="21.75" customHeight="1">
      <c r="A29" s="387">
        <v>23</v>
      </c>
      <c r="B29" s="312" t="s">
        <v>240</v>
      </c>
      <c r="C29" s="388"/>
      <c r="D29" s="389"/>
      <c r="E29" s="389"/>
      <c r="F29" s="389"/>
      <c r="G29" s="390">
        <f t="shared" si="0"/>
        <v>2</v>
      </c>
      <c r="H29" s="391">
        <v>2</v>
      </c>
      <c r="I29" s="391"/>
      <c r="J29" s="391"/>
      <c r="K29" s="389"/>
      <c r="L29" s="392"/>
      <c r="M29" s="393">
        <f t="shared" si="1"/>
        <v>0</v>
      </c>
      <c r="N29" s="391"/>
      <c r="O29" s="391"/>
      <c r="P29" s="391"/>
      <c r="Q29" s="394"/>
      <c r="R29" s="399"/>
      <c r="S29" s="393">
        <f t="shared" si="2"/>
        <v>0</v>
      </c>
      <c r="T29" s="395"/>
      <c r="U29" s="395"/>
      <c r="V29" s="395"/>
      <c r="W29" s="394"/>
      <c r="X29" s="391">
        <v>0</v>
      </c>
      <c r="Y29" s="396">
        <f t="shared" si="3"/>
        <v>0</v>
      </c>
      <c r="Z29" s="397"/>
    </row>
    <row r="30" spans="1:26" s="68" customFormat="1" ht="21.75" customHeight="1">
      <c r="A30" s="387">
        <v>24</v>
      </c>
      <c r="B30" s="312" t="s">
        <v>241</v>
      </c>
      <c r="C30" s="388"/>
      <c r="D30" s="389"/>
      <c r="E30" s="389"/>
      <c r="F30" s="389"/>
      <c r="G30" s="390">
        <f t="shared" si="0"/>
        <v>6.88</v>
      </c>
      <c r="H30" s="391">
        <v>3.55</v>
      </c>
      <c r="I30" s="391">
        <v>2.53</v>
      </c>
      <c r="J30" s="391">
        <v>0.8</v>
      </c>
      <c r="K30" s="389"/>
      <c r="L30" s="392"/>
      <c r="M30" s="393">
        <f t="shared" si="1"/>
        <v>0.36</v>
      </c>
      <c r="N30" s="391"/>
      <c r="O30" s="391">
        <v>0.36</v>
      </c>
      <c r="P30" s="391"/>
      <c r="Q30" s="394"/>
      <c r="R30" s="399"/>
      <c r="S30" s="393">
        <f t="shared" si="2"/>
        <v>1.36</v>
      </c>
      <c r="T30" s="395"/>
      <c r="U30" s="395">
        <v>1.36</v>
      </c>
      <c r="V30" s="395"/>
      <c r="W30" s="394"/>
      <c r="X30" s="391">
        <v>35</v>
      </c>
      <c r="Y30" s="396">
        <f t="shared" si="3"/>
        <v>0.19767441860465118</v>
      </c>
      <c r="Z30" s="397"/>
    </row>
    <row r="31" spans="1:26" s="68" customFormat="1" ht="21.75" customHeight="1">
      <c r="A31" s="401">
        <v>25</v>
      </c>
      <c r="B31" s="402" t="s">
        <v>242</v>
      </c>
      <c r="C31" s="403"/>
      <c r="D31" s="404"/>
      <c r="E31" s="404"/>
      <c r="F31" s="404"/>
      <c r="G31" s="405">
        <f t="shared" si="0"/>
        <v>9.75</v>
      </c>
      <c r="H31" s="406">
        <v>7.237</v>
      </c>
      <c r="I31" s="406">
        <v>0.963</v>
      </c>
      <c r="J31" s="406">
        <v>1.55</v>
      </c>
      <c r="K31" s="404"/>
      <c r="L31" s="407"/>
      <c r="M31" s="408">
        <f t="shared" si="1"/>
        <v>0</v>
      </c>
      <c r="N31" s="406"/>
      <c r="O31" s="406"/>
      <c r="P31" s="406"/>
      <c r="Q31" s="409"/>
      <c r="R31" s="410"/>
      <c r="S31" s="408">
        <f t="shared" si="2"/>
        <v>0</v>
      </c>
      <c r="T31" s="411"/>
      <c r="U31" s="411"/>
      <c r="V31" s="411"/>
      <c r="W31" s="409"/>
      <c r="X31" s="406">
        <v>0</v>
      </c>
      <c r="Y31" s="412">
        <f t="shared" si="3"/>
        <v>0</v>
      </c>
      <c r="Z31" s="413"/>
    </row>
    <row r="32" spans="1:26" ht="21.75" customHeight="1">
      <c r="A32" s="926" t="s">
        <v>23</v>
      </c>
      <c r="B32" s="926"/>
      <c r="C32" s="414">
        <f aca="true" t="shared" si="4" ref="C32:J32">+SUM(C7:C31)</f>
        <v>0</v>
      </c>
      <c r="D32" s="415">
        <f t="shared" si="4"/>
        <v>0</v>
      </c>
      <c r="E32" s="415">
        <f t="shared" si="4"/>
        <v>0</v>
      </c>
      <c r="F32" s="415">
        <f t="shared" si="4"/>
        <v>0</v>
      </c>
      <c r="G32" s="414">
        <f t="shared" si="4"/>
        <v>131.89799999999997</v>
      </c>
      <c r="H32" s="415">
        <f t="shared" si="4"/>
        <v>35.362</v>
      </c>
      <c r="I32" s="415">
        <f t="shared" si="4"/>
        <v>43.613</v>
      </c>
      <c r="J32" s="415">
        <f t="shared" si="4"/>
        <v>52.922999999999995</v>
      </c>
      <c r="K32" s="415"/>
      <c r="L32" s="416">
        <f>+SUM(L7:L31)</f>
        <v>0</v>
      </c>
      <c r="M32" s="414">
        <f>+SUM(M7:M31)</f>
        <v>5.3100000000000005</v>
      </c>
      <c r="N32" s="417">
        <f>+SUM(N7:N31)</f>
        <v>0.2</v>
      </c>
      <c r="O32" s="417">
        <f>+SUM(O7:O31)</f>
        <v>2.7099999999999995</v>
      </c>
      <c r="P32" s="417">
        <f>+SUM(P7:P31)</f>
        <v>2.4</v>
      </c>
      <c r="Q32" s="417"/>
      <c r="R32" s="418">
        <f>+SUM(R7:R31)</f>
        <v>0</v>
      </c>
      <c r="S32" s="415">
        <f>+SUM(S7:S31)</f>
        <v>26.77</v>
      </c>
      <c r="T32" s="417">
        <f>+SUM(T7:T31)</f>
        <v>1.7</v>
      </c>
      <c r="U32" s="417">
        <f>+SUM(U7:U31)</f>
        <v>17.82</v>
      </c>
      <c r="V32" s="417">
        <f>+SUM(V7:V31)</f>
        <v>7.25</v>
      </c>
      <c r="W32" s="417"/>
      <c r="X32" s="418">
        <f>+SUM(X7:X31)</f>
        <v>1965.85</v>
      </c>
      <c r="Y32" s="419">
        <f t="shared" si="3"/>
        <v>0.202959862924381</v>
      </c>
      <c r="Z32" s="420"/>
    </row>
    <row r="33" spans="2:26" ht="15">
      <c r="B33" s="170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</row>
    <row r="34" spans="2:25" ht="15">
      <c r="B34" s="162"/>
      <c r="R34" s="164"/>
      <c r="U34" s="36"/>
      <c r="X34" s="165"/>
      <c r="Y34" s="166"/>
    </row>
    <row r="35" spans="7:24" ht="15">
      <c r="G35" s="167"/>
      <c r="N35" s="36"/>
      <c r="S35" s="168"/>
      <c r="X35" s="169"/>
    </row>
  </sheetData>
  <sheetProtection/>
  <mergeCells count="23">
    <mergeCell ref="X5:X6"/>
    <mergeCell ref="M4:R4"/>
    <mergeCell ref="Z4:Z6"/>
    <mergeCell ref="H5:K5"/>
    <mergeCell ref="L5:L6"/>
    <mergeCell ref="M5:M6"/>
    <mergeCell ref="A1:Z1"/>
    <mergeCell ref="A2:Z2"/>
    <mergeCell ref="A3:Z3"/>
    <mergeCell ref="A4:A6"/>
    <mergeCell ref="B4:B6"/>
    <mergeCell ref="C4:F4"/>
    <mergeCell ref="G4:L4"/>
    <mergeCell ref="S4:X4"/>
    <mergeCell ref="Y4:Y6"/>
    <mergeCell ref="T5:W5"/>
    <mergeCell ref="A32:B32"/>
    <mergeCell ref="N5:Q5"/>
    <mergeCell ref="R5:R6"/>
    <mergeCell ref="S5:S6"/>
    <mergeCell ref="C5:C6"/>
    <mergeCell ref="D5:F5"/>
    <mergeCell ref="G5:G6"/>
  </mergeCells>
  <printOptions/>
  <pageMargins left="0.21" right="0.2" top="0.66" bottom="0.31" header="0.34" footer="0.2"/>
  <pageSetup horizontalDpi="600" verticalDpi="6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Z41"/>
  <sheetViews>
    <sheetView zoomScale="85" zoomScaleNormal="85" zoomScalePageLayoutView="0" workbookViewId="0" topLeftCell="A1">
      <selection activeCell="M5" sqref="M5:M6"/>
    </sheetView>
  </sheetViews>
  <sheetFormatPr defaultColWidth="9.00390625" defaultRowHeight="14.25"/>
  <cols>
    <col min="1" max="1" width="3.625" style="26" customWidth="1"/>
    <col min="2" max="2" width="12.625" style="26" customWidth="1"/>
    <col min="3" max="3" width="0.12890625" style="163" hidden="1" customWidth="1"/>
    <col min="4" max="4" width="7.75390625" style="26" hidden="1" customWidth="1"/>
    <col min="5" max="5" width="7.50390625" style="26" hidden="1" customWidth="1"/>
    <col min="6" max="6" width="9.375" style="26" hidden="1" customWidth="1"/>
    <col min="7" max="7" width="6.125" style="163" customWidth="1"/>
    <col min="8" max="8" width="6.25390625" style="26" customWidth="1"/>
    <col min="9" max="9" width="5.375" style="26" customWidth="1"/>
    <col min="10" max="10" width="6.50390625" style="26" customWidth="1"/>
    <col min="11" max="11" width="6.125" style="26" customWidth="1"/>
    <col min="12" max="12" width="7.00390625" style="26" customWidth="1"/>
    <col min="13" max="13" width="4.875" style="163" customWidth="1"/>
    <col min="14" max="14" width="5.00390625" style="26" customWidth="1"/>
    <col min="15" max="15" width="5.375" style="26" customWidth="1"/>
    <col min="16" max="16" width="5.50390625" style="26" customWidth="1"/>
    <col min="17" max="17" width="5.75390625" style="26" customWidth="1"/>
    <col min="18" max="18" width="6.50390625" style="26" customWidth="1"/>
    <col min="19" max="19" width="5.75390625" style="163" customWidth="1"/>
    <col min="20" max="20" width="6.00390625" style="26" customWidth="1"/>
    <col min="21" max="21" width="5.125" style="26" customWidth="1"/>
    <col min="22" max="22" width="6.125" style="26" customWidth="1"/>
    <col min="23" max="23" width="5.625" style="26" customWidth="1"/>
    <col min="24" max="24" width="7.25390625" style="26" customWidth="1"/>
    <col min="25" max="25" width="7.375" style="26" customWidth="1"/>
    <col min="26" max="26" width="4.50390625" style="26" customWidth="1"/>
    <col min="27" max="16384" width="9.00390625" style="26" customWidth="1"/>
  </cols>
  <sheetData>
    <row r="1" spans="1:26" ht="30" customHeight="1">
      <c r="A1" s="856" t="s">
        <v>301</v>
      </c>
      <c r="B1" s="856"/>
      <c r="C1" s="856"/>
      <c r="D1" s="856"/>
      <c r="E1" s="856"/>
      <c r="F1" s="856"/>
      <c r="G1" s="856"/>
      <c r="H1" s="856"/>
      <c r="I1" s="856"/>
      <c r="J1" s="856"/>
      <c r="K1" s="856"/>
      <c r="L1" s="856"/>
      <c r="M1" s="856"/>
      <c r="N1" s="856"/>
      <c r="O1" s="856"/>
      <c r="P1" s="856"/>
      <c r="Q1" s="856"/>
      <c r="R1" s="856"/>
      <c r="S1" s="856"/>
      <c r="T1" s="856"/>
      <c r="U1" s="856"/>
      <c r="V1" s="856"/>
      <c r="W1" s="856"/>
      <c r="X1" s="856"/>
      <c r="Y1" s="856"/>
      <c r="Z1" s="856"/>
    </row>
    <row r="2" spans="1:26" s="148" customFormat="1" ht="22.5" customHeight="1">
      <c r="A2" s="857" t="s">
        <v>305</v>
      </c>
      <c r="B2" s="857"/>
      <c r="C2" s="857"/>
      <c r="D2" s="857"/>
      <c r="E2" s="857"/>
      <c r="F2" s="857"/>
      <c r="G2" s="857"/>
      <c r="H2" s="857"/>
      <c r="I2" s="857"/>
      <c r="J2" s="857"/>
      <c r="K2" s="857"/>
      <c r="L2" s="857"/>
      <c r="M2" s="857"/>
      <c r="N2" s="857"/>
      <c r="O2" s="857"/>
      <c r="P2" s="857"/>
      <c r="Q2" s="857"/>
      <c r="R2" s="857"/>
      <c r="S2" s="857"/>
      <c r="T2" s="857"/>
      <c r="U2" s="857"/>
      <c r="V2" s="857"/>
      <c r="W2" s="857"/>
      <c r="X2" s="857"/>
      <c r="Y2" s="857"/>
      <c r="Z2" s="857"/>
    </row>
    <row r="3" spans="1:26" s="148" customFormat="1" ht="22.5" customHeight="1">
      <c r="A3" s="858"/>
      <c r="B3" s="858"/>
      <c r="C3" s="858"/>
      <c r="D3" s="858"/>
      <c r="E3" s="858"/>
      <c r="F3" s="858"/>
      <c r="G3" s="858"/>
      <c r="H3" s="858"/>
      <c r="I3" s="858"/>
      <c r="J3" s="858"/>
      <c r="K3" s="858"/>
      <c r="L3" s="858"/>
      <c r="M3" s="858"/>
      <c r="N3" s="858"/>
      <c r="O3" s="858"/>
      <c r="P3" s="858"/>
      <c r="Q3" s="858"/>
      <c r="R3" s="858"/>
      <c r="S3" s="858"/>
      <c r="T3" s="858"/>
      <c r="U3" s="858"/>
      <c r="V3" s="858"/>
      <c r="W3" s="858"/>
      <c r="X3" s="858"/>
      <c r="Y3" s="858"/>
      <c r="Z3" s="858"/>
    </row>
    <row r="4" spans="1:26" s="151" customFormat="1" ht="33" customHeight="1">
      <c r="A4" s="933" t="s">
        <v>0</v>
      </c>
      <c r="B4" s="866" t="s">
        <v>160</v>
      </c>
      <c r="C4" s="922" t="s">
        <v>25</v>
      </c>
      <c r="D4" s="922"/>
      <c r="E4" s="922"/>
      <c r="F4" s="922"/>
      <c r="G4" s="934" t="s">
        <v>26</v>
      </c>
      <c r="H4" s="935"/>
      <c r="I4" s="935"/>
      <c r="J4" s="935"/>
      <c r="K4" s="935"/>
      <c r="L4" s="936"/>
      <c r="M4" s="934" t="s">
        <v>44</v>
      </c>
      <c r="N4" s="935"/>
      <c r="O4" s="935"/>
      <c r="P4" s="935"/>
      <c r="Q4" s="935"/>
      <c r="R4" s="936"/>
      <c r="S4" s="937" t="s">
        <v>45</v>
      </c>
      <c r="T4" s="938"/>
      <c r="U4" s="938"/>
      <c r="V4" s="938"/>
      <c r="W4" s="938"/>
      <c r="X4" s="939"/>
      <c r="Y4" s="866" t="s">
        <v>43</v>
      </c>
      <c r="Z4" s="866" t="s">
        <v>14</v>
      </c>
    </row>
    <row r="5" spans="1:26" s="151" customFormat="1" ht="15.75" customHeight="1">
      <c r="A5" s="933"/>
      <c r="B5" s="866"/>
      <c r="C5" s="922" t="s">
        <v>20</v>
      </c>
      <c r="D5" s="932" t="s">
        <v>21</v>
      </c>
      <c r="E5" s="932"/>
      <c r="F5" s="932"/>
      <c r="G5" s="866" t="s">
        <v>38</v>
      </c>
      <c r="H5" s="940" t="s">
        <v>21</v>
      </c>
      <c r="I5" s="940"/>
      <c r="J5" s="940"/>
      <c r="K5" s="940"/>
      <c r="L5" s="930" t="s">
        <v>202</v>
      </c>
      <c r="M5" s="866" t="s">
        <v>38</v>
      </c>
      <c r="N5" s="927" t="s">
        <v>21</v>
      </c>
      <c r="O5" s="928"/>
      <c r="P5" s="928"/>
      <c r="Q5" s="929"/>
      <c r="R5" s="930" t="s">
        <v>37</v>
      </c>
      <c r="S5" s="866" t="s">
        <v>38</v>
      </c>
      <c r="T5" s="927" t="s">
        <v>21</v>
      </c>
      <c r="U5" s="928"/>
      <c r="V5" s="928"/>
      <c r="W5" s="929"/>
      <c r="X5" s="930" t="s">
        <v>37</v>
      </c>
      <c r="Y5" s="866"/>
      <c r="Z5" s="866"/>
    </row>
    <row r="6" spans="1:26" s="151" customFormat="1" ht="95.25" customHeight="1">
      <c r="A6" s="933"/>
      <c r="B6" s="866"/>
      <c r="C6" s="922"/>
      <c r="D6" s="371" t="s">
        <v>17</v>
      </c>
      <c r="E6" s="371" t="s">
        <v>18</v>
      </c>
      <c r="F6" s="371" t="s">
        <v>19</v>
      </c>
      <c r="G6" s="866"/>
      <c r="H6" s="370" t="s">
        <v>39</v>
      </c>
      <c r="I6" s="370" t="s">
        <v>40</v>
      </c>
      <c r="J6" s="370" t="s">
        <v>41</v>
      </c>
      <c r="K6" s="370" t="s">
        <v>42</v>
      </c>
      <c r="L6" s="931"/>
      <c r="M6" s="866"/>
      <c r="N6" s="370" t="s">
        <v>39</v>
      </c>
      <c r="O6" s="370" t="s">
        <v>40</v>
      </c>
      <c r="P6" s="370" t="s">
        <v>41</v>
      </c>
      <c r="Q6" s="370" t="s">
        <v>42</v>
      </c>
      <c r="R6" s="931"/>
      <c r="S6" s="866"/>
      <c r="T6" s="370" t="s">
        <v>39</v>
      </c>
      <c r="U6" s="370" t="s">
        <v>40</v>
      </c>
      <c r="V6" s="370" t="s">
        <v>41</v>
      </c>
      <c r="W6" s="370" t="s">
        <v>42</v>
      </c>
      <c r="X6" s="931"/>
      <c r="Y6" s="866"/>
      <c r="Z6" s="866"/>
    </row>
    <row r="7" spans="1:26" s="68" customFormat="1" ht="24" customHeight="1">
      <c r="A7" s="372">
        <v>1</v>
      </c>
      <c r="B7" s="421" t="s">
        <v>243</v>
      </c>
      <c r="C7" s="374"/>
      <c r="D7" s="375"/>
      <c r="E7" s="375"/>
      <c r="F7" s="375"/>
      <c r="G7" s="376">
        <f aca="true" t="shared" si="0" ref="G7:G37">SUM(H7:J7)</f>
        <v>2</v>
      </c>
      <c r="H7" s="422"/>
      <c r="I7" s="422">
        <v>2</v>
      </c>
      <c r="J7" s="422"/>
      <c r="K7" s="378"/>
      <c r="L7" s="379"/>
      <c r="M7" s="380">
        <f aca="true" t="shared" si="1" ref="M7:M37">SUM(N7:Q7)</f>
        <v>0</v>
      </c>
      <c r="N7" s="422"/>
      <c r="O7" s="422"/>
      <c r="P7" s="422"/>
      <c r="Q7" s="382"/>
      <c r="R7" s="381"/>
      <c r="S7" s="380">
        <f aca="true" t="shared" si="2" ref="S7:S37">SUM(T7:W7)</f>
        <v>0</v>
      </c>
      <c r="T7" s="422"/>
      <c r="U7" s="422"/>
      <c r="V7" s="422"/>
      <c r="W7" s="422"/>
      <c r="X7" s="422"/>
      <c r="Y7" s="385">
        <f aca="true" t="shared" si="3" ref="Y7:Y38">+S7/G7</f>
        <v>0</v>
      </c>
      <c r="Z7" s="386"/>
    </row>
    <row r="8" spans="1:26" s="68" customFormat="1" ht="18" customHeight="1">
      <c r="A8" s="387">
        <v>2</v>
      </c>
      <c r="B8" s="423" t="s">
        <v>244</v>
      </c>
      <c r="C8" s="388"/>
      <c r="D8" s="389"/>
      <c r="E8" s="389"/>
      <c r="F8" s="389"/>
      <c r="G8" s="390">
        <f t="shared" si="0"/>
        <v>3.6999999999999997</v>
      </c>
      <c r="H8" s="424">
        <v>1.2</v>
      </c>
      <c r="I8" s="424">
        <v>1.6</v>
      </c>
      <c r="J8" s="424">
        <v>0.9</v>
      </c>
      <c r="K8" s="389"/>
      <c r="L8" s="392"/>
      <c r="M8" s="393">
        <f t="shared" si="1"/>
        <v>0.2</v>
      </c>
      <c r="N8" s="424"/>
      <c r="O8" s="424">
        <v>0.2</v>
      </c>
      <c r="P8" s="424"/>
      <c r="Q8" s="394"/>
      <c r="R8" s="391">
        <v>206</v>
      </c>
      <c r="S8" s="393">
        <f t="shared" si="2"/>
        <v>1.087</v>
      </c>
      <c r="T8" s="424">
        <v>0.94</v>
      </c>
      <c r="U8" s="424">
        <f>1.087-T8</f>
        <v>0.14700000000000002</v>
      </c>
      <c r="V8" s="424"/>
      <c r="W8" s="424"/>
      <c r="X8" s="425">
        <v>137.5</v>
      </c>
      <c r="Y8" s="396">
        <f t="shared" si="3"/>
        <v>0.2937837837837838</v>
      </c>
      <c r="Z8" s="397"/>
    </row>
    <row r="9" spans="1:26" ht="24.75" customHeight="1">
      <c r="A9" s="387">
        <v>3</v>
      </c>
      <c r="B9" s="423" t="s">
        <v>245</v>
      </c>
      <c r="C9" s="388"/>
      <c r="D9" s="398"/>
      <c r="E9" s="398"/>
      <c r="F9" s="398"/>
      <c r="G9" s="390">
        <f t="shared" si="0"/>
        <v>3.4000000000000004</v>
      </c>
      <c r="H9" s="424">
        <v>0.35</v>
      </c>
      <c r="I9" s="424">
        <v>2.35</v>
      </c>
      <c r="J9" s="424">
        <v>0.7</v>
      </c>
      <c r="K9" s="398"/>
      <c r="L9" s="392"/>
      <c r="M9" s="393">
        <f t="shared" si="1"/>
        <v>0</v>
      </c>
      <c r="N9" s="424"/>
      <c r="O9" s="424"/>
      <c r="P9" s="424"/>
      <c r="Q9" s="394"/>
      <c r="R9" s="399">
        <v>150</v>
      </c>
      <c r="S9" s="393">
        <f t="shared" si="2"/>
        <v>0.25</v>
      </c>
      <c r="T9" s="424"/>
      <c r="U9" s="424">
        <v>0.25</v>
      </c>
      <c r="V9" s="424"/>
      <c r="W9" s="424"/>
      <c r="X9" s="425">
        <v>30</v>
      </c>
      <c r="Y9" s="396">
        <f t="shared" si="3"/>
        <v>0.07352941176470587</v>
      </c>
      <c r="Z9" s="400"/>
    </row>
    <row r="10" spans="1:26" ht="21.75" customHeight="1">
      <c r="A10" s="387">
        <v>4</v>
      </c>
      <c r="B10" s="423" t="s">
        <v>246</v>
      </c>
      <c r="C10" s="388"/>
      <c r="D10" s="398"/>
      <c r="E10" s="398"/>
      <c r="F10" s="398"/>
      <c r="G10" s="390">
        <f t="shared" si="0"/>
        <v>2.3</v>
      </c>
      <c r="H10" s="426">
        <v>2.3</v>
      </c>
      <c r="I10" s="424"/>
      <c r="J10" s="424"/>
      <c r="K10" s="398"/>
      <c r="L10" s="392"/>
      <c r="M10" s="393">
        <f t="shared" si="1"/>
        <v>0</v>
      </c>
      <c r="N10" s="426"/>
      <c r="O10" s="424"/>
      <c r="P10" s="424"/>
      <c r="Q10" s="394"/>
      <c r="R10" s="399"/>
      <c r="S10" s="393">
        <f t="shared" si="2"/>
        <v>0</v>
      </c>
      <c r="T10" s="426"/>
      <c r="U10" s="424"/>
      <c r="V10" s="424"/>
      <c r="W10" s="424"/>
      <c r="X10" s="425"/>
      <c r="Y10" s="396">
        <f t="shared" si="3"/>
        <v>0</v>
      </c>
      <c r="Z10" s="400"/>
    </row>
    <row r="11" spans="1:26" s="68" customFormat="1" ht="21.75" customHeight="1">
      <c r="A11" s="387">
        <v>5</v>
      </c>
      <c r="B11" s="423" t="s">
        <v>247</v>
      </c>
      <c r="C11" s="388"/>
      <c r="D11" s="389"/>
      <c r="E11" s="389"/>
      <c r="F11" s="389"/>
      <c r="G11" s="390">
        <f t="shared" si="0"/>
        <v>2.9</v>
      </c>
      <c r="H11" s="424"/>
      <c r="I11" s="424">
        <v>2.9</v>
      </c>
      <c r="J11" s="424"/>
      <c r="K11" s="389"/>
      <c r="L11" s="392"/>
      <c r="M11" s="393">
        <f t="shared" si="1"/>
        <v>0.7</v>
      </c>
      <c r="N11" s="424"/>
      <c r="O11" s="424">
        <v>0.7</v>
      </c>
      <c r="P11" s="424"/>
      <c r="Q11" s="394"/>
      <c r="R11" s="399"/>
      <c r="S11" s="393">
        <f t="shared" si="2"/>
        <v>2.2</v>
      </c>
      <c r="T11" s="424"/>
      <c r="U11" s="424">
        <v>2.2</v>
      </c>
      <c r="V11" s="424"/>
      <c r="W11" s="424"/>
      <c r="X11" s="425">
        <v>264</v>
      </c>
      <c r="Y11" s="396">
        <f t="shared" si="3"/>
        <v>0.7586206896551725</v>
      </c>
      <c r="Z11" s="397"/>
    </row>
    <row r="12" spans="1:26" s="68" customFormat="1" ht="21.75" customHeight="1">
      <c r="A12" s="387">
        <v>6</v>
      </c>
      <c r="B12" s="423" t="s">
        <v>248</v>
      </c>
      <c r="C12" s="388"/>
      <c r="D12" s="389"/>
      <c r="E12" s="389"/>
      <c r="F12" s="389"/>
      <c r="G12" s="390">
        <f t="shared" si="0"/>
        <v>2.2</v>
      </c>
      <c r="H12" s="424">
        <v>2.1</v>
      </c>
      <c r="I12" s="424">
        <v>0.1</v>
      </c>
      <c r="J12" s="424"/>
      <c r="K12" s="389"/>
      <c r="L12" s="392"/>
      <c r="M12" s="393">
        <f t="shared" si="1"/>
        <v>0</v>
      </c>
      <c r="N12" s="424"/>
      <c r="O12" s="424"/>
      <c r="P12" s="424"/>
      <c r="Q12" s="394"/>
      <c r="R12" s="399"/>
      <c r="S12" s="393">
        <f t="shared" si="2"/>
        <v>0</v>
      </c>
      <c r="T12" s="424"/>
      <c r="U12" s="424"/>
      <c r="V12" s="424"/>
      <c r="W12" s="424"/>
      <c r="X12" s="425"/>
      <c r="Y12" s="396">
        <f t="shared" si="3"/>
        <v>0</v>
      </c>
      <c r="Z12" s="397"/>
    </row>
    <row r="13" spans="1:26" s="68" customFormat="1" ht="21.75" customHeight="1">
      <c r="A13" s="387">
        <v>7</v>
      </c>
      <c r="B13" s="423" t="s">
        <v>249</v>
      </c>
      <c r="C13" s="388"/>
      <c r="D13" s="389"/>
      <c r="E13" s="389"/>
      <c r="F13" s="389"/>
      <c r="G13" s="390">
        <f t="shared" si="0"/>
        <v>1.5</v>
      </c>
      <c r="H13" s="426">
        <v>1.5</v>
      </c>
      <c r="I13" s="426"/>
      <c r="J13" s="426"/>
      <c r="K13" s="389"/>
      <c r="L13" s="392"/>
      <c r="M13" s="393">
        <f t="shared" si="1"/>
        <v>0</v>
      </c>
      <c r="N13" s="424"/>
      <c r="O13" s="424"/>
      <c r="P13" s="424"/>
      <c r="Q13" s="394"/>
      <c r="R13" s="399"/>
      <c r="S13" s="393">
        <f t="shared" si="2"/>
        <v>1.97</v>
      </c>
      <c r="T13" s="424"/>
      <c r="U13" s="424">
        <v>1.97</v>
      </c>
      <c r="V13" s="424"/>
      <c r="W13" s="424"/>
      <c r="X13" s="425">
        <v>175</v>
      </c>
      <c r="Y13" s="396">
        <f t="shared" si="3"/>
        <v>1.3133333333333332</v>
      </c>
      <c r="Z13" s="397"/>
    </row>
    <row r="14" spans="1:26" s="68" customFormat="1" ht="21.75" customHeight="1">
      <c r="A14" s="387">
        <v>8</v>
      </c>
      <c r="B14" s="423" t="s">
        <v>250</v>
      </c>
      <c r="C14" s="388"/>
      <c r="D14" s="389"/>
      <c r="E14" s="389"/>
      <c r="F14" s="389"/>
      <c r="G14" s="390">
        <f t="shared" si="0"/>
        <v>6</v>
      </c>
      <c r="H14" s="424">
        <v>1.5</v>
      </c>
      <c r="I14" s="424">
        <v>3</v>
      </c>
      <c r="J14" s="424">
        <v>1.5</v>
      </c>
      <c r="K14" s="389"/>
      <c r="L14" s="392"/>
      <c r="M14" s="393">
        <f t="shared" si="1"/>
        <v>0.7</v>
      </c>
      <c r="N14" s="424"/>
      <c r="O14" s="424">
        <v>0.7</v>
      </c>
      <c r="P14" s="424"/>
      <c r="Q14" s="394"/>
      <c r="R14" s="399"/>
      <c r="S14" s="393">
        <f t="shared" si="2"/>
        <v>2.8</v>
      </c>
      <c r="T14" s="424"/>
      <c r="U14" s="424">
        <v>2.8</v>
      </c>
      <c r="V14" s="424"/>
      <c r="W14" s="424"/>
      <c r="X14" s="425">
        <v>330</v>
      </c>
      <c r="Y14" s="396">
        <f t="shared" si="3"/>
        <v>0.4666666666666666</v>
      </c>
      <c r="Z14" s="397"/>
    </row>
    <row r="15" spans="1:26" s="68" customFormat="1" ht="21.75" customHeight="1">
      <c r="A15" s="387">
        <v>9</v>
      </c>
      <c r="B15" s="423" t="s">
        <v>251</v>
      </c>
      <c r="C15" s="388"/>
      <c r="D15" s="389"/>
      <c r="E15" s="389"/>
      <c r="F15" s="389"/>
      <c r="G15" s="390">
        <f t="shared" si="0"/>
        <v>5.1000000000000005</v>
      </c>
      <c r="H15" s="424"/>
      <c r="I15" s="424">
        <v>4.9</v>
      </c>
      <c r="J15" s="424">
        <v>0.2</v>
      </c>
      <c r="K15" s="389"/>
      <c r="L15" s="392"/>
      <c r="M15" s="393">
        <f t="shared" si="1"/>
        <v>0</v>
      </c>
      <c r="N15" s="424"/>
      <c r="O15" s="424"/>
      <c r="P15" s="424"/>
      <c r="Q15" s="394"/>
      <c r="R15" s="399"/>
      <c r="S15" s="393">
        <f t="shared" si="2"/>
        <v>0.46</v>
      </c>
      <c r="T15" s="424"/>
      <c r="U15" s="424">
        <v>0.46</v>
      </c>
      <c r="V15" s="424"/>
      <c r="W15" s="424"/>
      <c r="X15" s="425">
        <v>54.5</v>
      </c>
      <c r="Y15" s="396">
        <f t="shared" si="3"/>
        <v>0.09019607843137255</v>
      </c>
      <c r="Z15" s="397"/>
    </row>
    <row r="16" spans="1:26" s="68" customFormat="1" ht="21.75" customHeight="1">
      <c r="A16" s="387">
        <v>10</v>
      </c>
      <c r="B16" s="423" t="s">
        <v>252</v>
      </c>
      <c r="C16" s="388"/>
      <c r="D16" s="389"/>
      <c r="E16" s="389"/>
      <c r="F16" s="389"/>
      <c r="G16" s="390">
        <f t="shared" si="0"/>
        <v>3.2</v>
      </c>
      <c r="H16" s="424">
        <v>0.2</v>
      </c>
      <c r="I16" s="424">
        <v>3</v>
      </c>
      <c r="J16" s="424"/>
      <c r="K16" s="389"/>
      <c r="L16" s="392"/>
      <c r="M16" s="393">
        <f t="shared" si="1"/>
        <v>0</v>
      </c>
      <c r="N16" s="424"/>
      <c r="O16" s="424"/>
      <c r="P16" s="424"/>
      <c r="Q16" s="394"/>
      <c r="R16" s="399"/>
      <c r="S16" s="393">
        <f t="shared" si="2"/>
        <v>1.1</v>
      </c>
      <c r="T16" s="424"/>
      <c r="U16" s="424">
        <v>1.1</v>
      </c>
      <c r="V16" s="424"/>
      <c r="W16" s="424"/>
      <c r="X16" s="425">
        <v>89.8</v>
      </c>
      <c r="Y16" s="396">
        <f t="shared" si="3"/>
        <v>0.34375</v>
      </c>
      <c r="Z16" s="397"/>
    </row>
    <row r="17" spans="1:26" s="68" customFormat="1" ht="21.75" customHeight="1">
      <c r="A17" s="387">
        <v>11</v>
      </c>
      <c r="B17" s="423" t="s">
        <v>253</v>
      </c>
      <c r="C17" s="388"/>
      <c r="D17" s="389"/>
      <c r="E17" s="389"/>
      <c r="F17" s="389"/>
      <c r="G17" s="390">
        <f t="shared" si="0"/>
        <v>2.9</v>
      </c>
      <c r="H17" s="424">
        <v>2.9</v>
      </c>
      <c r="I17" s="424"/>
      <c r="J17" s="424"/>
      <c r="K17" s="389"/>
      <c r="L17" s="392"/>
      <c r="M17" s="393">
        <f t="shared" si="1"/>
        <v>0</v>
      </c>
      <c r="N17" s="424"/>
      <c r="O17" s="424"/>
      <c r="P17" s="424"/>
      <c r="Q17" s="394"/>
      <c r="R17" s="399"/>
      <c r="S17" s="393">
        <f t="shared" si="2"/>
        <v>0.55</v>
      </c>
      <c r="T17" s="424">
        <v>0.4</v>
      </c>
      <c r="U17" s="424">
        <v>0.15</v>
      </c>
      <c r="V17" s="424"/>
      <c r="W17" s="424"/>
      <c r="X17" s="425">
        <v>65</v>
      </c>
      <c r="Y17" s="396">
        <f t="shared" si="3"/>
        <v>0.18965517241379312</v>
      </c>
      <c r="Z17" s="397"/>
    </row>
    <row r="18" spans="1:26" s="68" customFormat="1" ht="21.75" customHeight="1">
      <c r="A18" s="387">
        <v>12</v>
      </c>
      <c r="B18" s="423" t="s">
        <v>254</v>
      </c>
      <c r="C18" s="388"/>
      <c r="D18" s="389"/>
      <c r="E18" s="389"/>
      <c r="F18" s="389"/>
      <c r="G18" s="390">
        <f t="shared" si="0"/>
        <v>2.7</v>
      </c>
      <c r="H18" s="424"/>
      <c r="I18" s="424">
        <v>2.7</v>
      </c>
      <c r="J18" s="424"/>
      <c r="K18" s="389"/>
      <c r="L18" s="392"/>
      <c r="M18" s="393">
        <f t="shared" si="1"/>
        <v>0</v>
      </c>
      <c r="N18" s="424"/>
      <c r="O18" s="424"/>
      <c r="P18" s="424"/>
      <c r="Q18" s="394"/>
      <c r="R18" s="399"/>
      <c r="S18" s="393">
        <f t="shared" si="2"/>
        <v>0.57</v>
      </c>
      <c r="T18" s="424"/>
      <c r="U18" s="424">
        <v>0.57</v>
      </c>
      <c r="V18" s="424"/>
      <c r="W18" s="424"/>
      <c r="X18" s="425">
        <v>84.2</v>
      </c>
      <c r="Y18" s="396">
        <f t="shared" si="3"/>
        <v>0.21111111111111108</v>
      </c>
      <c r="Z18" s="397"/>
    </row>
    <row r="19" spans="1:26" s="68" customFormat="1" ht="21.75" customHeight="1">
      <c r="A19" s="387">
        <v>13</v>
      </c>
      <c r="B19" s="423" t="s">
        <v>255</v>
      </c>
      <c r="C19" s="388"/>
      <c r="D19" s="389"/>
      <c r="E19" s="389"/>
      <c r="F19" s="389"/>
      <c r="G19" s="390">
        <f t="shared" si="0"/>
        <v>3.4000000000000004</v>
      </c>
      <c r="H19" s="424"/>
      <c r="I19" s="424">
        <v>1.8</v>
      </c>
      <c r="J19" s="424">
        <v>1.6</v>
      </c>
      <c r="K19" s="389"/>
      <c r="L19" s="392"/>
      <c r="M19" s="393">
        <f t="shared" si="1"/>
        <v>0</v>
      </c>
      <c r="N19" s="424"/>
      <c r="O19" s="424"/>
      <c r="P19" s="424"/>
      <c r="Q19" s="394"/>
      <c r="R19" s="399"/>
      <c r="S19" s="393">
        <f t="shared" si="2"/>
        <v>3</v>
      </c>
      <c r="T19" s="424"/>
      <c r="U19" s="424">
        <v>1.4</v>
      </c>
      <c r="V19" s="424">
        <v>1.6</v>
      </c>
      <c r="W19" s="424"/>
      <c r="X19" s="425">
        <v>430</v>
      </c>
      <c r="Y19" s="396">
        <f t="shared" si="3"/>
        <v>0.8823529411764705</v>
      </c>
      <c r="Z19" s="397"/>
    </row>
    <row r="20" spans="1:26" s="68" customFormat="1" ht="21.75" customHeight="1">
      <c r="A20" s="387">
        <v>14</v>
      </c>
      <c r="B20" s="423" t="s">
        <v>256</v>
      </c>
      <c r="C20" s="388"/>
      <c r="D20" s="389"/>
      <c r="E20" s="389"/>
      <c r="F20" s="389"/>
      <c r="G20" s="390">
        <f t="shared" si="0"/>
        <v>1.87</v>
      </c>
      <c r="H20" s="424">
        <v>0.54</v>
      </c>
      <c r="I20" s="424">
        <v>0.71</v>
      </c>
      <c r="J20" s="424">
        <v>0.62</v>
      </c>
      <c r="K20" s="389"/>
      <c r="L20" s="392"/>
      <c r="M20" s="393">
        <f t="shared" si="1"/>
        <v>0</v>
      </c>
      <c r="N20" s="424"/>
      <c r="O20" s="424"/>
      <c r="P20" s="424"/>
      <c r="Q20" s="394"/>
      <c r="R20" s="399"/>
      <c r="S20" s="393">
        <f t="shared" si="2"/>
        <v>0</v>
      </c>
      <c r="T20" s="424"/>
      <c r="U20" s="424"/>
      <c r="V20" s="424"/>
      <c r="W20" s="424"/>
      <c r="X20" s="425"/>
      <c r="Y20" s="396">
        <f t="shared" si="3"/>
        <v>0</v>
      </c>
      <c r="Z20" s="397"/>
    </row>
    <row r="21" spans="1:26" s="68" customFormat="1" ht="21.75" customHeight="1">
      <c r="A21" s="387">
        <v>15</v>
      </c>
      <c r="B21" s="423" t="s">
        <v>257</v>
      </c>
      <c r="C21" s="388"/>
      <c r="D21" s="389"/>
      <c r="E21" s="389"/>
      <c r="F21" s="389"/>
      <c r="G21" s="390">
        <f t="shared" si="0"/>
        <v>6.000000000000001</v>
      </c>
      <c r="H21" s="424">
        <v>3.64</v>
      </c>
      <c r="I21" s="424">
        <v>1</v>
      </c>
      <c r="J21" s="424">
        <v>1.36</v>
      </c>
      <c r="K21" s="389"/>
      <c r="L21" s="392"/>
      <c r="M21" s="393">
        <f t="shared" si="1"/>
        <v>0.45</v>
      </c>
      <c r="N21" s="424"/>
      <c r="O21" s="424">
        <v>0.45</v>
      </c>
      <c r="P21" s="424"/>
      <c r="Q21" s="394"/>
      <c r="R21" s="399"/>
      <c r="S21" s="393">
        <f t="shared" si="2"/>
        <v>1.15</v>
      </c>
      <c r="T21" s="424"/>
      <c r="U21" s="424">
        <v>1.15</v>
      </c>
      <c r="V21" s="424"/>
      <c r="W21" s="424"/>
      <c r="X21" s="425">
        <v>160</v>
      </c>
      <c r="Y21" s="396">
        <f t="shared" si="3"/>
        <v>0.19166666666666662</v>
      </c>
      <c r="Z21" s="397"/>
    </row>
    <row r="22" spans="1:26" s="68" customFormat="1" ht="21.75" customHeight="1">
      <c r="A22" s="387">
        <v>16</v>
      </c>
      <c r="B22" s="423" t="s">
        <v>258</v>
      </c>
      <c r="C22" s="388"/>
      <c r="D22" s="389"/>
      <c r="E22" s="389"/>
      <c r="F22" s="389"/>
      <c r="G22" s="390">
        <f t="shared" si="0"/>
        <v>3.8</v>
      </c>
      <c r="H22" s="424">
        <v>0.3</v>
      </c>
      <c r="I22" s="424">
        <v>2</v>
      </c>
      <c r="J22" s="424">
        <v>1.5</v>
      </c>
      <c r="K22" s="389"/>
      <c r="L22" s="392"/>
      <c r="M22" s="393">
        <f t="shared" si="1"/>
        <v>0</v>
      </c>
      <c r="N22" s="424"/>
      <c r="O22" s="424"/>
      <c r="P22" s="424"/>
      <c r="Q22" s="394"/>
      <c r="R22" s="399">
        <v>90</v>
      </c>
      <c r="S22" s="393">
        <f t="shared" si="2"/>
        <v>0.35</v>
      </c>
      <c r="T22" s="424">
        <v>0.35</v>
      </c>
      <c r="U22" s="424"/>
      <c r="V22" s="424"/>
      <c r="W22" s="424"/>
      <c r="X22" s="425">
        <v>30</v>
      </c>
      <c r="Y22" s="396">
        <f t="shared" si="3"/>
        <v>0.09210526315789473</v>
      </c>
      <c r="Z22" s="397"/>
    </row>
    <row r="23" spans="1:26" s="68" customFormat="1" ht="21.75" customHeight="1">
      <c r="A23" s="387">
        <v>17</v>
      </c>
      <c r="B23" s="423" t="s">
        <v>259</v>
      </c>
      <c r="C23" s="388"/>
      <c r="D23" s="389"/>
      <c r="E23" s="389"/>
      <c r="F23" s="389"/>
      <c r="G23" s="390">
        <f t="shared" si="0"/>
        <v>2</v>
      </c>
      <c r="H23" s="424">
        <v>1</v>
      </c>
      <c r="I23" s="424">
        <v>1</v>
      </c>
      <c r="J23" s="424"/>
      <c r="K23" s="389"/>
      <c r="L23" s="392"/>
      <c r="M23" s="393">
        <f t="shared" si="1"/>
        <v>0</v>
      </c>
      <c r="N23" s="424"/>
      <c r="O23" s="424"/>
      <c r="P23" s="424"/>
      <c r="Q23" s="394"/>
      <c r="R23" s="399"/>
      <c r="S23" s="393">
        <f t="shared" si="2"/>
        <v>1.8</v>
      </c>
      <c r="T23" s="424">
        <v>1</v>
      </c>
      <c r="U23" s="424">
        <v>0.8</v>
      </c>
      <c r="V23" s="424"/>
      <c r="W23" s="424"/>
      <c r="X23" s="425">
        <v>230.8</v>
      </c>
      <c r="Y23" s="396">
        <f t="shared" si="3"/>
        <v>0.9</v>
      </c>
      <c r="Z23" s="397"/>
    </row>
    <row r="24" spans="1:26" s="68" customFormat="1" ht="21.75" customHeight="1">
      <c r="A24" s="387">
        <v>18</v>
      </c>
      <c r="B24" s="423" t="s">
        <v>260</v>
      </c>
      <c r="C24" s="388"/>
      <c r="D24" s="389"/>
      <c r="E24" s="389"/>
      <c r="F24" s="389"/>
      <c r="G24" s="390">
        <f t="shared" si="0"/>
        <v>0.8</v>
      </c>
      <c r="H24" s="424">
        <v>0.8</v>
      </c>
      <c r="I24" s="424"/>
      <c r="J24" s="424"/>
      <c r="K24" s="389"/>
      <c r="L24" s="392"/>
      <c r="M24" s="393">
        <f t="shared" si="1"/>
        <v>0</v>
      </c>
      <c r="N24" s="424"/>
      <c r="O24" s="424"/>
      <c r="P24" s="424"/>
      <c r="Q24" s="394"/>
      <c r="R24" s="399"/>
      <c r="S24" s="393">
        <f t="shared" si="2"/>
        <v>0.4</v>
      </c>
      <c r="T24" s="424">
        <v>0.4</v>
      </c>
      <c r="U24" s="424"/>
      <c r="V24" s="424"/>
      <c r="W24" s="424"/>
      <c r="X24" s="425">
        <v>73</v>
      </c>
      <c r="Y24" s="396">
        <f t="shared" si="3"/>
        <v>0.5</v>
      </c>
      <c r="Z24" s="397"/>
    </row>
    <row r="25" spans="1:26" s="68" customFormat="1" ht="21.75" customHeight="1">
      <c r="A25" s="387">
        <v>19</v>
      </c>
      <c r="B25" s="423" t="s">
        <v>261</v>
      </c>
      <c r="C25" s="388"/>
      <c r="D25" s="389"/>
      <c r="E25" s="389"/>
      <c r="F25" s="389"/>
      <c r="G25" s="390">
        <f t="shared" si="0"/>
        <v>3.8</v>
      </c>
      <c r="H25" s="424"/>
      <c r="I25" s="424">
        <v>1.7</v>
      </c>
      <c r="J25" s="424">
        <v>2.1</v>
      </c>
      <c r="K25" s="389"/>
      <c r="L25" s="392"/>
      <c r="M25" s="393">
        <f t="shared" si="1"/>
        <v>0</v>
      </c>
      <c r="N25" s="424"/>
      <c r="O25" s="424"/>
      <c r="P25" s="424"/>
      <c r="Q25" s="394"/>
      <c r="R25" s="399">
        <v>75</v>
      </c>
      <c r="S25" s="393">
        <f t="shared" si="2"/>
        <v>0</v>
      </c>
      <c r="T25" s="424"/>
      <c r="U25" s="424"/>
      <c r="V25" s="424"/>
      <c r="W25" s="424"/>
      <c r="X25" s="425"/>
      <c r="Y25" s="396">
        <f t="shared" si="3"/>
        <v>0</v>
      </c>
      <c r="Z25" s="397"/>
    </row>
    <row r="26" spans="1:26" s="68" customFormat="1" ht="21.75" customHeight="1">
      <c r="A26" s="387">
        <v>20</v>
      </c>
      <c r="B26" s="423" t="s">
        <v>262</v>
      </c>
      <c r="C26" s="388"/>
      <c r="D26" s="389"/>
      <c r="E26" s="389"/>
      <c r="F26" s="389"/>
      <c r="G26" s="390">
        <f t="shared" si="0"/>
        <v>7.53</v>
      </c>
      <c r="H26" s="424">
        <v>0.45</v>
      </c>
      <c r="I26" s="424">
        <v>2.3</v>
      </c>
      <c r="J26" s="424">
        <v>4.78</v>
      </c>
      <c r="K26" s="389"/>
      <c r="L26" s="392"/>
      <c r="M26" s="393">
        <f t="shared" si="1"/>
        <v>0.6</v>
      </c>
      <c r="N26" s="424"/>
      <c r="O26" s="424">
        <v>0.1</v>
      </c>
      <c r="P26" s="424">
        <v>0.5</v>
      </c>
      <c r="Q26" s="394"/>
      <c r="R26" s="399"/>
      <c r="S26" s="393">
        <f t="shared" si="2"/>
        <v>3.5999999999999996</v>
      </c>
      <c r="T26" s="424"/>
      <c r="U26" s="424">
        <v>0.3</v>
      </c>
      <c r="V26" s="424">
        <v>3.3</v>
      </c>
      <c r="W26" s="424"/>
      <c r="X26" s="425">
        <v>385</v>
      </c>
      <c r="Y26" s="396">
        <f t="shared" si="3"/>
        <v>0.4780876494023904</v>
      </c>
      <c r="Z26" s="397"/>
    </row>
    <row r="27" spans="1:26" s="68" customFormat="1" ht="21.75" customHeight="1">
      <c r="A27" s="387">
        <v>21</v>
      </c>
      <c r="B27" s="423" t="s">
        <v>263</v>
      </c>
      <c r="C27" s="388"/>
      <c r="D27" s="389"/>
      <c r="E27" s="389"/>
      <c r="F27" s="389"/>
      <c r="G27" s="390">
        <f t="shared" si="0"/>
        <v>2.8</v>
      </c>
      <c r="H27" s="424">
        <v>2</v>
      </c>
      <c r="I27" s="424">
        <v>0.3</v>
      </c>
      <c r="J27" s="424">
        <v>0.5</v>
      </c>
      <c r="K27" s="389"/>
      <c r="L27" s="392"/>
      <c r="M27" s="393">
        <f t="shared" si="1"/>
        <v>0</v>
      </c>
      <c r="N27" s="424"/>
      <c r="O27" s="424"/>
      <c r="P27" s="424"/>
      <c r="Q27" s="394"/>
      <c r="R27" s="399">
        <v>90</v>
      </c>
      <c r="S27" s="393">
        <f t="shared" si="2"/>
        <v>0.3</v>
      </c>
      <c r="T27" s="424"/>
      <c r="U27" s="424">
        <v>0.3</v>
      </c>
      <c r="V27" s="424"/>
      <c r="W27" s="424"/>
      <c r="X27" s="425">
        <v>70</v>
      </c>
      <c r="Y27" s="396">
        <f t="shared" si="3"/>
        <v>0.10714285714285715</v>
      </c>
      <c r="Z27" s="397"/>
    </row>
    <row r="28" spans="1:26" s="68" customFormat="1" ht="21.75" customHeight="1">
      <c r="A28" s="387">
        <v>22</v>
      </c>
      <c r="B28" s="423" t="s">
        <v>264</v>
      </c>
      <c r="C28" s="388"/>
      <c r="D28" s="389"/>
      <c r="E28" s="389"/>
      <c r="F28" s="389"/>
      <c r="G28" s="390">
        <f t="shared" si="0"/>
        <v>1.601</v>
      </c>
      <c r="H28" s="424">
        <v>0.2</v>
      </c>
      <c r="I28" s="424">
        <v>0.151</v>
      </c>
      <c r="J28" s="424">
        <v>1.25</v>
      </c>
      <c r="K28" s="389"/>
      <c r="L28" s="392"/>
      <c r="M28" s="393">
        <f t="shared" si="1"/>
        <v>0</v>
      </c>
      <c r="N28" s="424"/>
      <c r="O28" s="424"/>
      <c r="P28" s="424"/>
      <c r="Q28" s="394"/>
      <c r="R28" s="399"/>
      <c r="S28" s="393">
        <f t="shared" si="2"/>
        <v>0</v>
      </c>
      <c r="T28" s="424"/>
      <c r="U28" s="424"/>
      <c r="V28" s="424"/>
      <c r="W28" s="424"/>
      <c r="X28" s="425"/>
      <c r="Y28" s="396">
        <f t="shared" si="3"/>
        <v>0</v>
      </c>
      <c r="Z28" s="397"/>
    </row>
    <row r="29" spans="1:26" s="68" customFormat="1" ht="21.75" customHeight="1">
      <c r="A29" s="387">
        <v>23</v>
      </c>
      <c r="B29" s="423" t="s">
        <v>265</v>
      </c>
      <c r="C29" s="388"/>
      <c r="D29" s="389"/>
      <c r="E29" s="389"/>
      <c r="F29" s="389"/>
      <c r="G29" s="390">
        <f t="shared" si="0"/>
        <v>5</v>
      </c>
      <c r="H29" s="424">
        <v>2</v>
      </c>
      <c r="I29" s="424">
        <v>2</v>
      </c>
      <c r="J29" s="424">
        <v>1</v>
      </c>
      <c r="K29" s="389"/>
      <c r="L29" s="392"/>
      <c r="M29" s="393">
        <f t="shared" si="1"/>
        <v>0</v>
      </c>
      <c r="N29" s="424"/>
      <c r="O29" s="424"/>
      <c r="P29" s="424"/>
      <c r="Q29" s="394"/>
      <c r="R29" s="399"/>
      <c r="S29" s="393">
        <f t="shared" si="2"/>
        <v>1.7</v>
      </c>
      <c r="T29" s="424">
        <v>0.75</v>
      </c>
      <c r="U29" s="424">
        <v>0.95</v>
      </c>
      <c r="V29" s="424"/>
      <c r="W29" s="424"/>
      <c r="X29" s="425">
        <v>175</v>
      </c>
      <c r="Y29" s="396">
        <f t="shared" si="3"/>
        <v>0.33999999999999997</v>
      </c>
      <c r="Z29" s="397"/>
    </row>
    <row r="30" spans="1:26" s="68" customFormat="1" ht="21.75" customHeight="1">
      <c r="A30" s="387">
        <v>24</v>
      </c>
      <c r="B30" s="423" t="s">
        <v>266</v>
      </c>
      <c r="C30" s="388"/>
      <c r="D30" s="389"/>
      <c r="E30" s="389"/>
      <c r="F30" s="389"/>
      <c r="G30" s="390">
        <f t="shared" si="0"/>
        <v>3</v>
      </c>
      <c r="H30" s="424">
        <v>0.7</v>
      </c>
      <c r="I30" s="424">
        <v>2.3</v>
      </c>
      <c r="J30" s="424"/>
      <c r="K30" s="389"/>
      <c r="L30" s="392"/>
      <c r="M30" s="393">
        <f t="shared" si="1"/>
        <v>0</v>
      </c>
      <c r="N30" s="424"/>
      <c r="O30" s="424"/>
      <c r="P30" s="424"/>
      <c r="Q30" s="394"/>
      <c r="R30" s="399"/>
      <c r="S30" s="393">
        <f t="shared" si="2"/>
        <v>2.9</v>
      </c>
      <c r="T30" s="424">
        <v>0.32</v>
      </c>
      <c r="U30" s="424">
        <f>2.9-T30</f>
        <v>2.58</v>
      </c>
      <c r="V30" s="424"/>
      <c r="W30" s="424"/>
      <c r="X30" s="425">
        <v>325</v>
      </c>
      <c r="Y30" s="396">
        <f t="shared" si="3"/>
        <v>0.9666666666666667</v>
      </c>
      <c r="Z30" s="397"/>
    </row>
    <row r="31" spans="1:26" s="68" customFormat="1" ht="21.75" customHeight="1">
      <c r="A31" s="387">
        <v>25</v>
      </c>
      <c r="B31" s="423" t="s">
        <v>267</v>
      </c>
      <c r="C31" s="388"/>
      <c r="D31" s="389"/>
      <c r="E31" s="389"/>
      <c r="F31" s="389"/>
      <c r="G31" s="390">
        <f t="shared" si="0"/>
        <v>3.1</v>
      </c>
      <c r="H31" s="424">
        <v>3.1</v>
      </c>
      <c r="I31" s="424"/>
      <c r="J31" s="424"/>
      <c r="K31" s="389"/>
      <c r="L31" s="392"/>
      <c r="M31" s="393">
        <f t="shared" si="1"/>
        <v>0</v>
      </c>
      <c r="N31" s="424"/>
      <c r="O31" s="424"/>
      <c r="P31" s="424"/>
      <c r="Q31" s="394"/>
      <c r="R31" s="399"/>
      <c r="S31" s="393">
        <f t="shared" si="2"/>
        <v>2.6</v>
      </c>
      <c r="T31" s="424">
        <v>2.6</v>
      </c>
      <c r="U31" s="424"/>
      <c r="V31" s="424"/>
      <c r="W31" s="424"/>
      <c r="X31" s="425">
        <v>359</v>
      </c>
      <c r="Y31" s="396">
        <f t="shared" si="3"/>
        <v>0.8387096774193549</v>
      </c>
      <c r="Z31" s="397"/>
    </row>
    <row r="32" spans="1:26" s="68" customFormat="1" ht="21.75" customHeight="1">
      <c r="A32" s="387">
        <v>26</v>
      </c>
      <c r="B32" s="423" t="s">
        <v>268</v>
      </c>
      <c r="C32" s="388"/>
      <c r="D32" s="389"/>
      <c r="E32" s="389"/>
      <c r="F32" s="389"/>
      <c r="G32" s="390">
        <f t="shared" si="0"/>
        <v>1.8</v>
      </c>
      <c r="H32" s="424">
        <v>0.51</v>
      </c>
      <c r="I32" s="424">
        <v>0.99</v>
      </c>
      <c r="J32" s="424">
        <v>0.3</v>
      </c>
      <c r="K32" s="389"/>
      <c r="L32" s="392"/>
      <c r="M32" s="393">
        <f t="shared" si="1"/>
        <v>0</v>
      </c>
      <c r="N32" s="424"/>
      <c r="O32" s="424"/>
      <c r="P32" s="424"/>
      <c r="Q32" s="394"/>
      <c r="R32" s="399"/>
      <c r="S32" s="393">
        <f t="shared" si="2"/>
        <v>0.3</v>
      </c>
      <c r="T32" s="424"/>
      <c r="U32" s="424">
        <v>0.3</v>
      </c>
      <c r="V32" s="424"/>
      <c r="W32" s="424"/>
      <c r="X32" s="425">
        <v>46</v>
      </c>
      <c r="Y32" s="396">
        <f t="shared" si="3"/>
        <v>0.16666666666666666</v>
      </c>
      <c r="Z32" s="397"/>
    </row>
    <row r="33" spans="1:26" s="68" customFormat="1" ht="21.75" customHeight="1">
      <c r="A33" s="387">
        <v>27</v>
      </c>
      <c r="B33" s="423" t="s">
        <v>269</v>
      </c>
      <c r="C33" s="388"/>
      <c r="D33" s="389"/>
      <c r="E33" s="389"/>
      <c r="F33" s="389"/>
      <c r="G33" s="390">
        <f t="shared" si="0"/>
        <v>2</v>
      </c>
      <c r="H33" s="424"/>
      <c r="I33" s="424">
        <v>2</v>
      </c>
      <c r="J33" s="424"/>
      <c r="K33" s="389"/>
      <c r="L33" s="392"/>
      <c r="M33" s="393">
        <f t="shared" si="1"/>
        <v>0.5</v>
      </c>
      <c r="N33" s="424"/>
      <c r="O33" s="424">
        <v>0.5</v>
      </c>
      <c r="P33" s="424"/>
      <c r="Q33" s="394"/>
      <c r="R33" s="399"/>
      <c r="S33" s="393">
        <f t="shared" si="2"/>
        <v>2</v>
      </c>
      <c r="T33" s="424"/>
      <c r="U33" s="424">
        <v>2</v>
      </c>
      <c r="V33" s="424"/>
      <c r="W33" s="424"/>
      <c r="X33" s="425">
        <v>180</v>
      </c>
      <c r="Y33" s="396">
        <f t="shared" si="3"/>
        <v>1</v>
      </c>
      <c r="Z33" s="397"/>
    </row>
    <row r="34" spans="1:26" s="68" customFormat="1" ht="21.75" customHeight="1">
      <c r="A34" s="387">
        <v>28</v>
      </c>
      <c r="B34" s="423" t="s">
        <v>270</v>
      </c>
      <c r="C34" s="388"/>
      <c r="D34" s="389"/>
      <c r="E34" s="389"/>
      <c r="F34" s="389"/>
      <c r="G34" s="390">
        <f t="shared" si="0"/>
        <v>2.1</v>
      </c>
      <c r="H34" s="424"/>
      <c r="I34" s="424">
        <v>2.1</v>
      </c>
      <c r="J34" s="424"/>
      <c r="K34" s="389"/>
      <c r="L34" s="392"/>
      <c r="M34" s="393">
        <f t="shared" si="1"/>
        <v>0</v>
      </c>
      <c r="N34" s="424"/>
      <c r="O34" s="424"/>
      <c r="P34" s="424"/>
      <c r="Q34" s="394"/>
      <c r="R34" s="399"/>
      <c r="S34" s="393">
        <f t="shared" si="2"/>
        <v>0.15</v>
      </c>
      <c r="T34" s="424"/>
      <c r="U34" s="424">
        <v>0.15</v>
      </c>
      <c r="V34" s="424"/>
      <c r="W34" s="424"/>
      <c r="X34" s="425">
        <v>20</v>
      </c>
      <c r="Y34" s="396">
        <f t="shared" si="3"/>
        <v>0.07142857142857142</v>
      </c>
      <c r="Z34" s="397"/>
    </row>
    <row r="35" spans="1:26" s="68" customFormat="1" ht="21.75" customHeight="1">
      <c r="A35" s="387">
        <v>29</v>
      </c>
      <c r="B35" s="423" t="s">
        <v>271</v>
      </c>
      <c r="C35" s="388"/>
      <c r="D35" s="389"/>
      <c r="E35" s="389"/>
      <c r="F35" s="389"/>
      <c r="G35" s="390">
        <f t="shared" si="0"/>
        <v>4.5</v>
      </c>
      <c r="H35" s="424">
        <v>1.5</v>
      </c>
      <c r="I35" s="424">
        <v>3</v>
      </c>
      <c r="J35" s="424"/>
      <c r="K35" s="389"/>
      <c r="L35" s="392"/>
      <c r="M35" s="393">
        <f t="shared" si="1"/>
        <v>0</v>
      </c>
      <c r="N35" s="424"/>
      <c r="O35" s="424"/>
      <c r="P35" s="424"/>
      <c r="Q35" s="394"/>
      <c r="R35" s="399"/>
      <c r="S35" s="393">
        <f t="shared" si="2"/>
        <v>0.8</v>
      </c>
      <c r="T35" s="424"/>
      <c r="U35" s="424">
        <v>0.8</v>
      </c>
      <c r="V35" s="424"/>
      <c r="W35" s="424"/>
      <c r="X35" s="425">
        <v>90</v>
      </c>
      <c r="Y35" s="396">
        <f t="shared" si="3"/>
        <v>0.17777777777777778</v>
      </c>
      <c r="Z35" s="397"/>
    </row>
    <row r="36" spans="1:26" s="68" customFormat="1" ht="21.75" customHeight="1">
      <c r="A36" s="387">
        <v>30</v>
      </c>
      <c r="B36" s="423" t="s">
        <v>272</v>
      </c>
      <c r="C36" s="388"/>
      <c r="D36" s="389"/>
      <c r="E36" s="389"/>
      <c r="F36" s="389"/>
      <c r="G36" s="390">
        <f t="shared" si="0"/>
        <v>2.7</v>
      </c>
      <c r="H36" s="424">
        <v>1.5</v>
      </c>
      <c r="I36" s="424">
        <v>1.2</v>
      </c>
      <c r="J36" s="424"/>
      <c r="K36" s="389"/>
      <c r="L36" s="392"/>
      <c r="M36" s="393">
        <f t="shared" si="1"/>
        <v>0</v>
      </c>
      <c r="N36" s="424"/>
      <c r="O36" s="424"/>
      <c r="P36" s="424"/>
      <c r="Q36" s="394"/>
      <c r="R36" s="399"/>
      <c r="S36" s="393">
        <f t="shared" si="2"/>
        <v>1.1</v>
      </c>
      <c r="T36" s="424">
        <f>0.45+0.28</f>
        <v>0.73</v>
      </c>
      <c r="U36" s="424">
        <v>0.37</v>
      </c>
      <c r="V36" s="424"/>
      <c r="W36" s="424"/>
      <c r="X36" s="425">
        <v>210</v>
      </c>
      <c r="Y36" s="396">
        <f t="shared" si="3"/>
        <v>0.40740740740740744</v>
      </c>
      <c r="Z36" s="397"/>
    </row>
    <row r="37" spans="1:26" s="68" customFormat="1" ht="21.75" customHeight="1">
      <c r="A37" s="401">
        <v>31</v>
      </c>
      <c r="B37" s="427" t="s">
        <v>273</v>
      </c>
      <c r="C37" s="403"/>
      <c r="D37" s="404"/>
      <c r="E37" s="404"/>
      <c r="F37" s="404"/>
      <c r="G37" s="405">
        <f t="shared" si="0"/>
        <v>4.1</v>
      </c>
      <c r="H37" s="428">
        <v>0.8</v>
      </c>
      <c r="I37" s="428">
        <v>2.5</v>
      </c>
      <c r="J37" s="428">
        <v>0.8</v>
      </c>
      <c r="K37" s="404"/>
      <c r="L37" s="407"/>
      <c r="M37" s="408">
        <f t="shared" si="1"/>
        <v>0</v>
      </c>
      <c r="N37" s="428"/>
      <c r="O37" s="428"/>
      <c r="P37" s="428"/>
      <c r="Q37" s="409"/>
      <c r="R37" s="410"/>
      <c r="S37" s="408">
        <f t="shared" si="2"/>
        <v>1.5</v>
      </c>
      <c r="T37" s="428">
        <v>0.4</v>
      </c>
      <c r="U37" s="428">
        <v>1.1</v>
      </c>
      <c r="V37" s="428"/>
      <c r="W37" s="428"/>
      <c r="X37" s="429">
        <v>130</v>
      </c>
      <c r="Y37" s="412">
        <f t="shared" si="3"/>
        <v>0.3658536585365854</v>
      </c>
      <c r="Z37" s="413"/>
    </row>
    <row r="38" spans="1:26" ht="21.75" customHeight="1">
      <c r="A38" s="926" t="s">
        <v>23</v>
      </c>
      <c r="B38" s="926"/>
      <c r="C38" s="414">
        <f aca="true" t="shared" si="4" ref="C38:J38">+SUM(C7:C37)</f>
        <v>0</v>
      </c>
      <c r="D38" s="415">
        <f t="shared" si="4"/>
        <v>0</v>
      </c>
      <c r="E38" s="415">
        <f t="shared" si="4"/>
        <v>0</v>
      </c>
      <c r="F38" s="415">
        <f t="shared" si="4"/>
        <v>0</v>
      </c>
      <c r="G38" s="414">
        <f t="shared" si="4"/>
        <v>99.80099999999997</v>
      </c>
      <c r="H38" s="415">
        <f t="shared" si="4"/>
        <v>31.090000000000003</v>
      </c>
      <c r="I38" s="415">
        <f t="shared" si="4"/>
        <v>49.601000000000006</v>
      </c>
      <c r="J38" s="415">
        <f t="shared" si="4"/>
        <v>19.110000000000003</v>
      </c>
      <c r="K38" s="415"/>
      <c r="L38" s="416">
        <f>+SUM(L7:L37)</f>
        <v>0</v>
      </c>
      <c r="M38" s="414">
        <f>+SUM(M7:M37)</f>
        <v>3.15</v>
      </c>
      <c r="N38" s="417">
        <f>+SUM(N7:N37)</f>
        <v>0</v>
      </c>
      <c r="O38" s="417">
        <f>+SUM(O7:O37)</f>
        <v>2.65</v>
      </c>
      <c r="P38" s="417">
        <f>+SUM(P7:P37)</f>
        <v>0.5</v>
      </c>
      <c r="Q38" s="417"/>
      <c r="R38" s="635">
        <f>+SUM(R7:R37)</f>
        <v>611</v>
      </c>
      <c r="S38" s="415">
        <f>+SUM(S7:S37)</f>
        <v>34.637</v>
      </c>
      <c r="T38" s="417">
        <f>+SUM(T7:T37)</f>
        <v>7.890000000000001</v>
      </c>
      <c r="U38" s="417">
        <f>+SUM(U7:U37)</f>
        <v>21.847000000000005</v>
      </c>
      <c r="V38" s="417">
        <f>+SUM(V7:V37)</f>
        <v>4.9</v>
      </c>
      <c r="W38" s="417"/>
      <c r="X38" s="418">
        <f>+SUM(X7:X37)</f>
        <v>4143.8</v>
      </c>
      <c r="Y38" s="419">
        <f t="shared" si="3"/>
        <v>0.3470606506948829</v>
      </c>
      <c r="Z38" s="420"/>
    </row>
    <row r="39" spans="2:26" ht="15">
      <c r="B39" s="170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</row>
    <row r="40" spans="2:25" ht="15">
      <c r="B40" s="162"/>
      <c r="R40" s="164"/>
      <c r="U40" s="36"/>
      <c r="X40" s="165"/>
      <c r="Y40" s="166"/>
    </row>
    <row r="41" spans="7:24" ht="15">
      <c r="G41" s="167"/>
      <c r="N41" s="36"/>
      <c r="S41" s="168"/>
      <c r="X41" s="169"/>
    </row>
  </sheetData>
  <sheetProtection/>
  <mergeCells count="23">
    <mergeCell ref="A38:B38"/>
    <mergeCell ref="N5:Q5"/>
    <mergeCell ref="R5:R6"/>
    <mergeCell ref="S5:S6"/>
    <mergeCell ref="C5:C6"/>
    <mergeCell ref="D5:F5"/>
    <mergeCell ref="G5:G6"/>
    <mergeCell ref="A1:Z1"/>
    <mergeCell ref="A2:Z2"/>
    <mergeCell ref="A3:Z3"/>
    <mergeCell ref="A4:A6"/>
    <mergeCell ref="B4:B6"/>
    <mergeCell ref="C4:F4"/>
    <mergeCell ref="G4:L4"/>
    <mergeCell ref="S4:X4"/>
    <mergeCell ref="Y4:Y6"/>
    <mergeCell ref="T5:W5"/>
    <mergeCell ref="X5:X6"/>
    <mergeCell ref="M4:R4"/>
    <mergeCell ref="Z4:Z6"/>
    <mergeCell ref="H5:K5"/>
    <mergeCell ref="L5:L6"/>
    <mergeCell ref="M5:M6"/>
  </mergeCells>
  <printOptions/>
  <pageMargins left="0.21" right="0.2" top="0.66" bottom="0.31" header="0.34" footer="0.2"/>
  <pageSetup horizontalDpi="600" verticalDpi="6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Z24"/>
  <sheetViews>
    <sheetView zoomScale="85" zoomScaleNormal="85" zoomScalePageLayoutView="0" workbookViewId="0" topLeftCell="A1">
      <selection activeCell="M5" sqref="M5:M6"/>
    </sheetView>
  </sheetViews>
  <sheetFormatPr defaultColWidth="9.00390625" defaultRowHeight="14.25"/>
  <cols>
    <col min="1" max="1" width="3.625" style="26" customWidth="1"/>
    <col min="2" max="2" width="12.625" style="26" customWidth="1"/>
    <col min="3" max="3" width="0.12890625" style="163" hidden="1" customWidth="1"/>
    <col min="4" max="4" width="7.75390625" style="26" hidden="1" customWidth="1"/>
    <col min="5" max="5" width="7.50390625" style="26" hidden="1" customWidth="1"/>
    <col min="6" max="6" width="9.375" style="26" hidden="1" customWidth="1"/>
    <col min="7" max="7" width="5.25390625" style="163" customWidth="1"/>
    <col min="8" max="8" width="6.25390625" style="26" customWidth="1"/>
    <col min="9" max="9" width="5.375" style="26" customWidth="1"/>
    <col min="10" max="10" width="6.50390625" style="26" customWidth="1"/>
    <col min="11" max="11" width="6.125" style="26" customWidth="1"/>
    <col min="12" max="12" width="7.00390625" style="26" customWidth="1"/>
    <col min="13" max="13" width="4.875" style="163" customWidth="1"/>
    <col min="14" max="14" width="5.00390625" style="26" customWidth="1"/>
    <col min="15" max="15" width="5.375" style="26" customWidth="1"/>
    <col min="16" max="16" width="5.50390625" style="26" customWidth="1"/>
    <col min="17" max="17" width="5.75390625" style="26" customWidth="1"/>
    <col min="18" max="18" width="6.50390625" style="26" customWidth="1"/>
    <col min="19" max="19" width="5.75390625" style="163" customWidth="1"/>
    <col min="20" max="20" width="6.00390625" style="26" customWidth="1"/>
    <col min="21" max="21" width="5.125" style="26" customWidth="1"/>
    <col min="22" max="22" width="6.125" style="26" customWidth="1"/>
    <col min="23" max="23" width="5.625" style="26" customWidth="1"/>
    <col min="24" max="24" width="7.25390625" style="26" customWidth="1"/>
    <col min="25" max="25" width="7.375" style="26" customWidth="1"/>
    <col min="26" max="26" width="4.50390625" style="26" customWidth="1"/>
    <col min="27" max="16384" width="9.00390625" style="26" customWidth="1"/>
  </cols>
  <sheetData>
    <row r="1" spans="1:26" ht="30" customHeight="1">
      <c r="A1" s="856" t="s">
        <v>302</v>
      </c>
      <c r="B1" s="856"/>
      <c r="C1" s="856"/>
      <c r="D1" s="856"/>
      <c r="E1" s="856"/>
      <c r="F1" s="856"/>
      <c r="G1" s="856"/>
      <c r="H1" s="856"/>
      <c r="I1" s="856"/>
      <c r="J1" s="856"/>
      <c r="K1" s="856"/>
      <c r="L1" s="856"/>
      <c r="M1" s="856"/>
      <c r="N1" s="856"/>
      <c r="O1" s="856"/>
      <c r="P1" s="856"/>
      <c r="Q1" s="856"/>
      <c r="R1" s="856"/>
      <c r="S1" s="856"/>
      <c r="T1" s="856"/>
      <c r="U1" s="856"/>
      <c r="V1" s="856"/>
      <c r="W1" s="856"/>
      <c r="X1" s="856"/>
      <c r="Y1" s="856"/>
      <c r="Z1" s="856"/>
    </row>
    <row r="2" spans="1:26" s="148" customFormat="1" ht="22.5" customHeight="1">
      <c r="A2" s="857" t="s">
        <v>305</v>
      </c>
      <c r="B2" s="857"/>
      <c r="C2" s="857"/>
      <c r="D2" s="857"/>
      <c r="E2" s="857"/>
      <c r="F2" s="857"/>
      <c r="G2" s="857"/>
      <c r="H2" s="857"/>
      <c r="I2" s="857"/>
      <c r="J2" s="857"/>
      <c r="K2" s="857"/>
      <c r="L2" s="857"/>
      <c r="M2" s="857"/>
      <c r="N2" s="857"/>
      <c r="O2" s="857"/>
      <c r="P2" s="857"/>
      <c r="Q2" s="857"/>
      <c r="R2" s="857"/>
      <c r="S2" s="857"/>
      <c r="T2" s="857"/>
      <c r="U2" s="857"/>
      <c r="V2" s="857"/>
      <c r="W2" s="857"/>
      <c r="X2" s="857"/>
      <c r="Y2" s="857"/>
      <c r="Z2" s="857"/>
    </row>
    <row r="3" spans="1:26" s="148" customFormat="1" ht="22.5" customHeight="1">
      <c r="A3" s="858"/>
      <c r="B3" s="858"/>
      <c r="C3" s="858"/>
      <c r="D3" s="858"/>
      <c r="E3" s="858"/>
      <c r="F3" s="858"/>
      <c r="G3" s="858"/>
      <c r="H3" s="858"/>
      <c r="I3" s="858"/>
      <c r="J3" s="858"/>
      <c r="K3" s="858"/>
      <c r="L3" s="858"/>
      <c r="M3" s="858"/>
      <c r="N3" s="858"/>
      <c r="O3" s="858"/>
      <c r="P3" s="858"/>
      <c r="Q3" s="858"/>
      <c r="R3" s="858"/>
      <c r="S3" s="858"/>
      <c r="T3" s="858"/>
      <c r="U3" s="858"/>
      <c r="V3" s="858"/>
      <c r="W3" s="858"/>
      <c r="X3" s="858"/>
      <c r="Y3" s="858"/>
      <c r="Z3" s="858"/>
    </row>
    <row r="4" spans="1:26" s="151" customFormat="1" ht="33" customHeight="1">
      <c r="A4" s="859" t="s">
        <v>0</v>
      </c>
      <c r="B4" s="860" t="s">
        <v>160</v>
      </c>
      <c r="C4" s="861" t="s">
        <v>25</v>
      </c>
      <c r="D4" s="861"/>
      <c r="E4" s="861"/>
      <c r="F4" s="861"/>
      <c r="G4" s="845" t="s">
        <v>26</v>
      </c>
      <c r="H4" s="846"/>
      <c r="I4" s="846"/>
      <c r="J4" s="846"/>
      <c r="K4" s="846"/>
      <c r="L4" s="847"/>
      <c r="M4" s="845" t="s">
        <v>44</v>
      </c>
      <c r="N4" s="846"/>
      <c r="O4" s="846"/>
      <c r="P4" s="846"/>
      <c r="Q4" s="846"/>
      <c r="R4" s="847"/>
      <c r="S4" s="848" t="s">
        <v>45</v>
      </c>
      <c r="T4" s="849"/>
      <c r="U4" s="849"/>
      <c r="V4" s="849"/>
      <c r="W4" s="849"/>
      <c r="X4" s="850"/>
      <c r="Y4" s="866" t="s">
        <v>43</v>
      </c>
      <c r="Z4" s="866" t="s">
        <v>14</v>
      </c>
    </row>
    <row r="5" spans="1:26" s="151" customFormat="1" ht="15.75" customHeight="1">
      <c r="A5" s="859"/>
      <c r="B5" s="860"/>
      <c r="C5" s="861" t="s">
        <v>20</v>
      </c>
      <c r="D5" s="868" t="s">
        <v>21</v>
      </c>
      <c r="E5" s="868"/>
      <c r="F5" s="868"/>
      <c r="G5" s="860" t="s">
        <v>38</v>
      </c>
      <c r="H5" s="869" t="s">
        <v>21</v>
      </c>
      <c r="I5" s="869"/>
      <c r="J5" s="869"/>
      <c r="K5" s="869"/>
      <c r="L5" s="854" t="s">
        <v>202</v>
      </c>
      <c r="M5" s="860" t="s">
        <v>38</v>
      </c>
      <c r="N5" s="851" t="s">
        <v>21</v>
      </c>
      <c r="O5" s="852"/>
      <c r="P5" s="852"/>
      <c r="Q5" s="853"/>
      <c r="R5" s="854" t="s">
        <v>37</v>
      </c>
      <c r="S5" s="860" t="s">
        <v>38</v>
      </c>
      <c r="T5" s="851" t="s">
        <v>21</v>
      </c>
      <c r="U5" s="852"/>
      <c r="V5" s="852"/>
      <c r="W5" s="853"/>
      <c r="X5" s="854" t="s">
        <v>37</v>
      </c>
      <c r="Y5" s="866"/>
      <c r="Z5" s="866"/>
    </row>
    <row r="6" spans="1:26" s="151" customFormat="1" ht="102">
      <c r="A6" s="859"/>
      <c r="B6" s="860"/>
      <c r="C6" s="861"/>
      <c r="D6" s="154" t="s">
        <v>17</v>
      </c>
      <c r="E6" s="154" t="s">
        <v>18</v>
      </c>
      <c r="F6" s="154" t="s">
        <v>19</v>
      </c>
      <c r="G6" s="860"/>
      <c r="H6" s="149" t="s">
        <v>39</v>
      </c>
      <c r="I6" s="149" t="s">
        <v>40</v>
      </c>
      <c r="J6" s="149" t="s">
        <v>41</v>
      </c>
      <c r="K6" s="149" t="s">
        <v>42</v>
      </c>
      <c r="L6" s="855"/>
      <c r="M6" s="860"/>
      <c r="N6" s="149" t="s">
        <v>39</v>
      </c>
      <c r="O6" s="149" t="s">
        <v>40</v>
      </c>
      <c r="P6" s="149" t="s">
        <v>41</v>
      </c>
      <c r="Q6" s="149" t="s">
        <v>42</v>
      </c>
      <c r="R6" s="855"/>
      <c r="S6" s="860"/>
      <c r="T6" s="149" t="s">
        <v>39</v>
      </c>
      <c r="U6" s="149" t="s">
        <v>40</v>
      </c>
      <c r="V6" s="149" t="s">
        <v>41</v>
      </c>
      <c r="W6" s="149" t="s">
        <v>42</v>
      </c>
      <c r="X6" s="855"/>
      <c r="Y6" s="866"/>
      <c r="Z6" s="866"/>
    </row>
    <row r="7" spans="1:26" s="68" customFormat="1" ht="24" customHeight="1">
      <c r="A7" s="332">
        <v>1</v>
      </c>
      <c r="B7" s="333" t="s">
        <v>203</v>
      </c>
      <c r="C7" s="334"/>
      <c r="D7" s="335"/>
      <c r="E7" s="335"/>
      <c r="F7" s="335"/>
      <c r="G7" s="336">
        <f aca="true" t="shared" si="0" ref="G7:G20">SUM(H7:J7)</f>
        <v>1</v>
      </c>
      <c r="H7" s="313"/>
      <c r="I7" s="313"/>
      <c r="J7" s="313">
        <v>1</v>
      </c>
      <c r="K7" s="337"/>
      <c r="L7" s="314"/>
      <c r="M7" s="338">
        <f aca="true" t="shared" si="1" ref="M7:M20">SUM(N7:Q7)</f>
        <v>0</v>
      </c>
      <c r="N7" s="321"/>
      <c r="O7" s="321"/>
      <c r="P7" s="321"/>
      <c r="Q7" s="322"/>
      <c r="R7" s="321"/>
      <c r="S7" s="338">
        <f aca="true" t="shared" si="2" ref="S7:S20">SUM(T7:W7)</f>
        <v>0</v>
      </c>
      <c r="T7" s="322"/>
      <c r="U7" s="322"/>
      <c r="V7" s="322"/>
      <c r="W7" s="339"/>
      <c r="X7" s="322"/>
      <c r="Y7" s="365">
        <f aca="true" t="shared" si="3" ref="Y7:Y21">+S7/G7</f>
        <v>0</v>
      </c>
      <c r="Z7" s="340"/>
    </row>
    <row r="8" spans="1:26" s="68" customFormat="1" ht="18" customHeight="1">
      <c r="A8" s="341">
        <v>2</v>
      </c>
      <c r="B8" s="342" t="s">
        <v>204</v>
      </c>
      <c r="C8" s="343"/>
      <c r="D8" s="344"/>
      <c r="E8" s="344"/>
      <c r="F8" s="344"/>
      <c r="G8" s="345">
        <f t="shared" si="0"/>
        <v>5.22</v>
      </c>
      <c r="H8" s="315">
        <v>3.84</v>
      </c>
      <c r="I8" s="315">
        <v>0.88</v>
      </c>
      <c r="J8" s="315">
        <v>0.5</v>
      </c>
      <c r="K8" s="344"/>
      <c r="L8" s="316"/>
      <c r="M8" s="346">
        <f t="shared" si="1"/>
        <v>0</v>
      </c>
      <c r="N8" s="323"/>
      <c r="O8" s="323"/>
      <c r="P8" s="323"/>
      <c r="Q8" s="324"/>
      <c r="R8" s="323"/>
      <c r="S8" s="346">
        <f t="shared" si="2"/>
        <v>0</v>
      </c>
      <c r="T8" s="325"/>
      <c r="U8" s="325"/>
      <c r="V8" s="325"/>
      <c r="W8" s="324"/>
      <c r="X8" s="325"/>
      <c r="Y8" s="366">
        <f t="shared" si="3"/>
        <v>0</v>
      </c>
      <c r="Z8" s="347"/>
    </row>
    <row r="9" spans="1:26" ht="24.75" customHeight="1">
      <c r="A9" s="341">
        <v>3</v>
      </c>
      <c r="B9" s="342" t="s">
        <v>205</v>
      </c>
      <c r="C9" s="348"/>
      <c r="D9" s="342"/>
      <c r="E9" s="342"/>
      <c r="F9" s="342"/>
      <c r="G9" s="345">
        <f t="shared" si="0"/>
        <v>7.390000000000001</v>
      </c>
      <c r="H9" s="315">
        <v>0.68</v>
      </c>
      <c r="I9" s="315">
        <v>1.98</v>
      </c>
      <c r="J9" s="315">
        <v>4.73</v>
      </c>
      <c r="K9" s="342"/>
      <c r="L9" s="316"/>
      <c r="M9" s="346">
        <f t="shared" si="1"/>
        <v>0</v>
      </c>
      <c r="N9" s="323"/>
      <c r="O9" s="323"/>
      <c r="P9" s="323"/>
      <c r="Q9" s="324"/>
      <c r="R9" s="323"/>
      <c r="S9" s="346">
        <f t="shared" si="2"/>
        <v>0</v>
      </c>
      <c r="T9" s="325"/>
      <c r="U9" s="325"/>
      <c r="V9" s="325"/>
      <c r="W9" s="324"/>
      <c r="X9" s="325"/>
      <c r="Y9" s="366">
        <f t="shared" si="3"/>
        <v>0</v>
      </c>
      <c r="Z9" s="349"/>
    </row>
    <row r="10" spans="1:26" ht="21.75" customHeight="1">
      <c r="A10" s="341">
        <v>4</v>
      </c>
      <c r="B10" s="342" t="s">
        <v>206</v>
      </c>
      <c r="C10" s="348"/>
      <c r="D10" s="342"/>
      <c r="E10" s="342"/>
      <c r="F10" s="342"/>
      <c r="G10" s="345">
        <f t="shared" si="0"/>
        <v>1.5</v>
      </c>
      <c r="H10" s="315">
        <v>0.3</v>
      </c>
      <c r="I10" s="315"/>
      <c r="J10" s="315">
        <v>1.2</v>
      </c>
      <c r="K10" s="342"/>
      <c r="L10" s="316"/>
      <c r="M10" s="346">
        <f t="shared" si="1"/>
        <v>0</v>
      </c>
      <c r="N10" s="323"/>
      <c r="O10" s="323"/>
      <c r="P10" s="323"/>
      <c r="Q10" s="324"/>
      <c r="R10" s="323"/>
      <c r="S10" s="346">
        <f t="shared" si="2"/>
        <v>0</v>
      </c>
      <c r="T10" s="325"/>
      <c r="U10" s="325"/>
      <c r="V10" s="325"/>
      <c r="W10" s="324"/>
      <c r="X10" s="325"/>
      <c r="Y10" s="366">
        <f t="shared" si="3"/>
        <v>0</v>
      </c>
      <c r="Z10" s="349"/>
    </row>
    <row r="11" spans="1:26" s="68" customFormat="1" ht="21.75" customHeight="1">
      <c r="A11" s="341">
        <v>5</v>
      </c>
      <c r="B11" s="342" t="s">
        <v>207</v>
      </c>
      <c r="C11" s="343"/>
      <c r="D11" s="344"/>
      <c r="E11" s="344"/>
      <c r="F11" s="344"/>
      <c r="G11" s="345">
        <f t="shared" si="0"/>
        <v>1.15</v>
      </c>
      <c r="H11" s="315"/>
      <c r="I11" s="315">
        <v>1.15</v>
      </c>
      <c r="J11" s="315"/>
      <c r="K11" s="344"/>
      <c r="L11" s="316"/>
      <c r="M11" s="346">
        <f t="shared" si="1"/>
        <v>0</v>
      </c>
      <c r="N11" s="323"/>
      <c r="O11" s="323"/>
      <c r="P11" s="323"/>
      <c r="Q11" s="324"/>
      <c r="R11" s="323"/>
      <c r="S11" s="346">
        <f t="shared" si="2"/>
        <v>0</v>
      </c>
      <c r="T11" s="325"/>
      <c r="U11" s="325"/>
      <c r="V11" s="325"/>
      <c r="W11" s="324"/>
      <c r="X11" s="325"/>
      <c r="Y11" s="366">
        <f t="shared" si="3"/>
        <v>0</v>
      </c>
      <c r="Z11" s="347"/>
    </row>
    <row r="12" spans="1:26" s="68" customFormat="1" ht="21.75" customHeight="1">
      <c r="A12" s="341">
        <v>6</v>
      </c>
      <c r="B12" s="342" t="s">
        <v>208</v>
      </c>
      <c r="C12" s="343"/>
      <c r="D12" s="344"/>
      <c r="E12" s="344"/>
      <c r="F12" s="344"/>
      <c r="G12" s="345">
        <f t="shared" si="0"/>
        <v>7.03</v>
      </c>
      <c r="H12" s="315">
        <v>0.7</v>
      </c>
      <c r="I12" s="315">
        <v>1.33</v>
      </c>
      <c r="J12" s="315">
        <v>5</v>
      </c>
      <c r="K12" s="344"/>
      <c r="L12" s="316"/>
      <c r="M12" s="346">
        <f t="shared" si="1"/>
        <v>0</v>
      </c>
      <c r="N12" s="323"/>
      <c r="O12" s="323"/>
      <c r="P12" s="323"/>
      <c r="Q12" s="324"/>
      <c r="R12" s="323"/>
      <c r="S12" s="346">
        <f t="shared" si="2"/>
        <v>0</v>
      </c>
      <c r="T12" s="325"/>
      <c r="U12" s="325"/>
      <c r="V12" s="325"/>
      <c r="W12" s="324"/>
      <c r="X12" s="325"/>
      <c r="Y12" s="366">
        <f t="shared" si="3"/>
        <v>0</v>
      </c>
      <c r="Z12" s="347"/>
    </row>
    <row r="13" spans="1:26" s="68" customFormat="1" ht="21.75" customHeight="1">
      <c r="A13" s="341">
        <v>7</v>
      </c>
      <c r="B13" s="342" t="s">
        <v>209</v>
      </c>
      <c r="C13" s="343"/>
      <c r="D13" s="344"/>
      <c r="E13" s="344"/>
      <c r="F13" s="344"/>
      <c r="G13" s="345">
        <f t="shared" si="0"/>
        <v>2.71</v>
      </c>
      <c r="H13" s="315"/>
      <c r="I13" s="315"/>
      <c r="J13" s="315">
        <v>2.71</v>
      </c>
      <c r="K13" s="344"/>
      <c r="L13" s="316"/>
      <c r="M13" s="346">
        <f t="shared" si="1"/>
        <v>0</v>
      </c>
      <c r="N13" s="323"/>
      <c r="O13" s="323"/>
      <c r="P13" s="323"/>
      <c r="Q13" s="324"/>
      <c r="R13" s="323"/>
      <c r="S13" s="346">
        <f t="shared" si="2"/>
        <v>0</v>
      </c>
      <c r="T13" s="325"/>
      <c r="U13" s="325"/>
      <c r="V13" s="325"/>
      <c r="W13" s="324"/>
      <c r="X13" s="325"/>
      <c r="Y13" s="366">
        <f t="shared" si="3"/>
        <v>0</v>
      </c>
      <c r="Z13" s="347"/>
    </row>
    <row r="14" spans="1:26" s="68" customFormat="1" ht="21.75" customHeight="1">
      <c r="A14" s="341">
        <v>8</v>
      </c>
      <c r="B14" s="342" t="s">
        <v>210</v>
      </c>
      <c r="C14" s="343"/>
      <c r="D14" s="344"/>
      <c r="E14" s="344"/>
      <c r="F14" s="344"/>
      <c r="G14" s="345">
        <f t="shared" si="0"/>
        <v>5.3</v>
      </c>
      <c r="H14" s="315">
        <v>5.3</v>
      </c>
      <c r="I14" s="315"/>
      <c r="J14" s="315"/>
      <c r="K14" s="344"/>
      <c r="L14" s="316"/>
      <c r="M14" s="346">
        <f t="shared" si="1"/>
        <v>0.95</v>
      </c>
      <c r="N14" s="323">
        <f>0.45+0.5</f>
        <v>0.95</v>
      </c>
      <c r="O14" s="323"/>
      <c r="P14" s="323"/>
      <c r="Q14" s="324"/>
      <c r="R14" s="323">
        <f>100+163.3</f>
        <v>263.3</v>
      </c>
      <c r="S14" s="346">
        <f t="shared" si="2"/>
        <v>0.95</v>
      </c>
      <c r="T14" s="325">
        <f>0.45+0.5</f>
        <v>0.95</v>
      </c>
      <c r="U14" s="325"/>
      <c r="V14" s="325"/>
      <c r="W14" s="324"/>
      <c r="X14" s="325">
        <v>263.3</v>
      </c>
      <c r="Y14" s="368">
        <f t="shared" si="3"/>
        <v>0.1792452830188679</v>
      </c>
      <c r="Z14" s="347"/>
    </row>
    <row r="15" spans="1:26" s="68" customFormat="1" ht="21.75" customHeight="1">
      <c r="A15" s="341">
        <v>9</v>
      </c>
      <c r="B15" s="342" t="s">
        <v>211</v>
      </c>
      <c r="C15" s="343"/>
      <c r="D15" s="344"/>
      <c r="E15" s="344"/>
      <c r="F15" s="344"/>
      <c r="G15" s="345">
        <f t="shared" si="0"/>
        <v>2.85</v>
      </c>
      <c r="H15" s="315">
        <v>1.81</v>
      </c>
      <c r="I15" s="315">
        <v>1.04</v>
      </c>
      <c r="J15" s="315"/>
      <c r="K15" s="344"/>
      <c r="L15" s="316"/>
      <c r="M15" s="346">
        <f t="shared" si="1"/>
        <v>0</v>
      </c>
      <c r="N15" s="323"/>
      <c r="O15" s="323"/>
      <c r="P15" s="323"/>
      <c r="Q15" s="324"/>
      <c r="R15" s="323"/>
      <c r="S15" s="346">
        <f t="shared" si="2"/>
        <v>0</v>
      </c>
      <c r="T15" s="325"/>
      <c r="U15" s="325"/>
      <c r="V15" s="325"/>
      <c r="W15" s="324"/>
      <c r="X15" s="325"/>
      <c r="Y15" s="366">
        <f t="shared" si="3"/>
        <v>0</v>
      </c>
      <c r="Z15" s="347"/>
    </row>
    <row r="16" spans="1:26" s="68" customFormat="1" ht="21.75" customHeight="1">
      <c r="A16" s="341">
        <v>10</v>
      </c>
      <c r="B16" s="342" t="s">
        <v>212</v>
      </c>
      <c r="C16" s="343"/>
      <c r="D16" s="344"/>
      <c r="E16" s="344"/>
      <c r="F16" s="344"/>
      <c r="G16" s="345">
        <f t="shared" si="0"/>
        <v>2.5</v>
      </c>
      <c r="H16" s="315"/>
      <c r="I16" s="315">
        <v>2.5</v>
      </c>
      <c r="J16" s="315"/>
      <c r="K16" s="344"/>
      <c r="L16" s="316"/>
      <c r="M16" s="346">
        <f t="shared" si="1"/>
        <v>0</v>
      </c>
      <c r="N16" s="323"/>
      <c r="O16" s="323"/>
      <c r="P16" s="323"/>
      <c r="Q16" s="324"/>
      <c r="R16" s="323"/>
      <c r="S16" s="346">
        <f t="shared" si="2"/>
        <v>0</v>
      </c>
      <c r="T16" s="325"/>
      <c r="U16" s="325"/>
      <c r="V16" s="325"/>
      <c r="W16" s="324"/>
      <c r="X16" s="325"/>
      <c r="Y16" s="366">
        <f t="shared" si="3"/>
        <v>0</v>
      </c>
      <c r="Z16" s="347"/>
    </row>
    <row r="17" spans="1:26" s="68" customFormat="1" ht="21.75" customHeight="1">
      <c r="A17" s="341">
        <v>11</v>
      </c>
      <c r="B17" s="342" t="s">
        <v>213</v>
      </c>
      <c r="C17" s="343"/>
      <c r="D17" s="344"/>
      <c r="E17" s="344"/>
      <c r="F17" s="344"/>
      <c r="G17" s="345">
        <f t="shared" si="0"/>
        <v>2.1</v>
      </c>
      <c r="H17" s="315">
        <v>2.1</v>
      </c>
      <c r="I17" s="315"/>
      <c r="J17" s="315"/>
      <c r="K17" s="344"/>
      <c r="L17" s="316"/>
      <c r="M17" s="346">
        <f t="shared" si="1"/>
        <v>0</v>
      </c>
      <c r="N17" s="323"/>
      <c r="O17" s="323"/>
      <c r="P17" s="323"/>
      <c r="Q17" s="324"/>
      <c r="R17" s="323"/>
      <c r="S17" s="346">
        <f t="shared" si="2"/>
        <v>0</v>
      </c>
      <c r="T17" s="325"/>
      <c r="U17" s="325"/>
      <c r="V17" s="325"/>
      <c r="W17" s="324"/>
      <c r="X17" s="325"/>
      <c r="Y17" s="366">
        <f t="shared" si="3"/>
        <v>0</v>
      </c>
      <c r="Z17" s="347"/>
    </row>
    <row r="18" spans="1:26" s="68" customFormat="1" ht="21.75" customHeight="1">
      <c r="A18" s="341">
        <v>12</v>
      </c>
      <c r="B18" s="342" t="s">
        <v>214</v>
      </c>
      <c r="C18" s="343"/>
      <c r="D18" s="344"/>
      <c r="E18" s="344"/>
      <c r="F18" s="344"/>
      <c r="G18" s="345">
        <f t="shared" si="0"/>
        <v>1</v>
      </c>
      <c r="H18" s="315"/>
      <c r="I18" s="315"/>
      <c r="J18" s="315">
        <v>1</v>
      </c>
      <c r="K18" s="344"/>
      <c r="L18" s="316"/>
      <c r="M18" s="346">
        <f t="shared" si="1"/>
        <v>0</v>
      </c>
      <c r="N18" s="323"/>
      <c r="O18" s="323"/>
      <c r="P18" s="323"/>
      <c r="Q18" s="324"/>
      <c r="R18" s="323"/>
      <c r="S18" s="346">
        <f t="shared" si="2"/>
        <v>0</v>
      </c>
      <c r="T18" s="325"/>
      <c r="U18" s="325"/>
      <c r="V18" s="325"/>
      <c r="W18" s="324"/>
      <c r="X18" s="325"/>
      <c r="Y18" s="366">
        <f t="shared" si="3"/>
        <v>0</v>
      </c>
      <c r="Z18" s="347"/>
    </row>
    <row r="19" spans="1:26" s="68" customFormat="1" ht="21.75" customHeight="1">
      <c r="A19" s="341">
        <v>13</v>
      </c>
      <c r="B19" s="342" t="s">
        <v>215</v>
      </c>
      <c r="C19" s="343"/>
      <c r="D19" s="344"/>
      <c r="E19" s="344"/>
      <c r="F19" s="344"/>
      <c r="G19" s="345">
        <f t="shared" si="0"/>
        <v>0.25</v>
      </c>
      <c r="H19" s="315">
        <v>0.25</v>
      </c>
      <c r="I19" s="315"/>
      <c r="J19" s="315"/>
      <c r="K19" s="344"/>
      <c r="L19" s="316"/>
      <c r="M19" s="346">
        <f t="shared" si="1"/>
        <v>0</v>
      </c>
      <c r="N19" s="323"/>
      <c r="O19" s="323"/>
      <c r="P19" s="323"/>
      <c r="Q19" s="324"/>
      <c r="R19" s="323"/>
      <c r="S19" s="346">
        <f t="shared" si="2"/>
        <v>0</v>
      </c>
      <c r="T19" s="325"/>
      <c r="U19" s="325"/>
      <c r="V19" s="325"/>
      <c r="W19" s="324"/>
      <c r="X19" s="325"/>
      <c r="Y19" s="366">
        <f t="shared" si="3"/>
        <v>0</v>
      </c>
      <c r="Z19" s="347"/>
    </row>
    <row r="20" spans="1:26" s="68" customFormat="1" ht="21.75" customHeight="1">
      <c r="A20" s="350">
        <v>14</v>
      </c>
      <c r="B20" s="351" t="s">
        <v>216</v>
      </c>
      <c r="C20" s="352"/>
      <c r="D20" s="353"/>
      <c r="E20" s="353"/>
      <c r="F20" s="353"/>
      <c r="G20" s="354">
        <f t="shared" si="0"/>
        <v>0.56</v>
      </c>
      <c r="H20" s="317"/>
      <c r="I20" s="317">
        <v>0.56</v>
      </c>
      <c r="J20" s="317"/>
      <c r="K20" s="353"/>
      <c r="L20" s="330"/>
      <c r="M20" s="355">
        <f t="shared" si="1"/>
        <v>0</v>
      </c>
      <c r="N20" s="326"/>
      <c r="O20" s="326"/>
      <c r="P20" s="326"/>
      <c r="Q20" s="331"/>
      <c r="R20" s="326"/>
      <c r="S20" s="355">
        <f t="shared" si="2"/>
        <v>0</v>
      </c>
      <c r="T20" s="327"/>
      <c r="U20" s="327"/>
      <c r="V20" s="327"/>
      <c r="W20" s="331"/>
      <c r="X20" s="327"/>
      <c r="Y20" s="367">
        <f t="shared" si="3"/>
        <v>0</v>
      </c>
      <c r="Z20" s="356"/>
    </row>
    <row r="21" spans="1:26" ht="21.75" customHeight="1">
      <c r="A21" s="941" t="s">
        <v>23</v>
      </c>
      <c r="B21" s="941"/>
      <c r="C21" s="52">
        <f aca="true" t="shared" si="4" ref="C21:J21">+SUM(C7:C20)</f>
        <v>0</v>
      </c>
      <c r="D21" s="311">
        <f t="shared" si="4"/>
        <v>0</v>
      </c>
      <c r="E21" s="311">
        <f t="shared" si="4"/>
        <v>0</v>
      </c>
      <c r="F21" s="311">
        <f t="shared" si="4"/>
        <v>0</v>
      </c>
      <c r="G21" s="52">
        <f t="shared" si="4"/>
        <v>40.56</v>
      </c>
      <c r="H21" s="311">
        <f t="shared" si="4"/>
        <v>14.98</v>
      </c>
      <c r="I21" s="311">
        <f t="shared" si="4"/>
        <v>9.44</v>
      </c>
      <c r="J21" s="311">
        <f t="shared" si="4"/>
        <v>16.14</v>
      </c>
      <c r="K21" s="311"/>
      <c r="L21" s="318">
        <f>+SUM(L7:L20)</f>
        <v>0</v>
      </c>
      <c r="M21" s="52">
        <f>+SUM(M7:M20)</f>
        <v>0.95</v>
      </c>
      <c r="N21" s="328">
        <f>+SUM(N7:N20)</f>
        <v>0.95</v>
      </c>
      <c r="O21" s="328">
        <f>+SUM(O7:O20)</f>
        <v>0</v>
      </c>
      <c r="P21" s="328">
        <f>+SUM(P7:P20)</f>
        <v>0</v>
      </c>
      <c r="Q21" s="328"/>
      <c r="R21" s="329">
        <f>+SUM(R7:R20)</f>
        <v>263.3</v>
      </c>
      <c r="S21" s="311">
        <f>+SUM(S7:S20)</f>
        <v>0.95</v>
      </c>
      <c r="T21" s="328">
        <f>+SUM(T7:T20)</f>
        <v>0.95</v>
      </c>
      <c r="U21" s="328">
        <f>+SUM(U7:U20)</f>
        <v>0</v>
      </c>
      <c r="V21" s="328">
        <f>+SUM(V7:V20)</f>
        <v>0</v>
      </c>
      <c r="W21" s="328"/>
      <c r="X21" s="329">
        <f>+SUM(X7:X20)</f>
        <v>263.3</v>
      </c>
      <c r="Y21" s="319">
        <f t="shared" si="3"/>
        <v>0.023422090729783036</v>
      </c>
      <c r="Z21" s="320"/>
    </row>
    <row r="22" spans="2:26" ht="15">
      <c r="B22" s="170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</row>
    <row r="23" spans="2:25" ht="15">
      <c r="B23" s="162"/>
      <c r="R23" s="164"/>
      <c r="U23" s="36"/>
      <c r="X23" s="165"/>
      <c r="Y23" s="166"/>
    </row>
    <row r="24" spans="7:24" ht="15">
      <c r="G24" s="167"/>
      <c r="N24" s="36"/>
      <c r="S24" s="168"/>
      <c r="X24" s="169"/>
    </row>
  </sheetData>
  <sheetProtection/>
  <mergeCells count="23">
    <mergeCell ref="A21:B21"/>
    <mergeCell ref="N5:Q5"/>
    <mergeCell ref="R5:R6"/>
    <mergeCell ref="S5:S6"/>
    <mergeCell ref="C5:C6"/>
    <mergeCell ref="D5:F5"/>
    <mergeCell ref="G5:G6"/>
    <mergeCell ref="A1:Z1"/>
    <mergeCell ref="A2:Z2"/>
    <mergeCell ref="A3:Z3"/>
    <mergeCell ref="A4:A6"/>
    <mergeCell ref="B4:B6"/>
    <mergeCell ref="C4:F4"/>
    <mergeCell ref="G4:L4"/>
    <mergeCell ref="S4:X4"/>
    <mergeCell ref="Y4:Y6"/>
    <mergeCell ref="T5:W5"/>
    <mergeCell ref="X5:X6"/>
    <mergeCell ref="M4:R4"/>
    <mergeCell ref="Z4:Z6"/>
    <mergeCell ref="H5:K5"/>
    <mergeCell ref="L5:L6"/>
    <mergeCell ref="M5:M6"/>
  </mergeCells>
  <printOptions/>
  <pageMargins left="0.21" right="0.2" top="0.66" bottom="0.31" header="0.34" footer="0.2"/>
  <pageSetup horizontalDpi="600" verticalDpi="6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Y43"/>
  <sheetViews>
    <sheetView zoomScale="85" zoomScaleNormal="85" zoomScalePageLayoutView="0" workbookViewId="0" topLeftCell="A1">
      <selection activeCell="M5" sqref="M5:M6"/>
    </sheetView>
  </sheetViews>
  <sheetFormatPr defaultColWidth="9.00390625" defaultRowHeight="14.25"/>
  <cols>
    <col min="1" max="1" width="3.625" style="26" customWidth="1"/>
    <col min="2" max="2" width="9.50390625" style="26" customWidth="1"/>
    <col min="3" max="3" width="6.75390625" style="163" customWidth="1"/>
    <col min="4" max="4" width="6.25390625" style="26" customWidth="1"/>
    <col min="5" max="5" width="5.875" style="26" customWidth="1"/>
    <col min="6" max="6" width="6.25390625" style="26" customWidth="1"/>
    <col min="7" max="7" width="6.625" style="26" customWidth="1"/>
    <col min="8" max="8" width="7.75390625" style="26" customWidth="1"/>
    <col min="9" max="9" width="6.75390625" style="163" customWidth="1"/>
    <col min="10" max="10" width="6.125" style="26" customWidth="1"/>
    <col min="11" max="11" width="5.50390625" style="26" customWidth="1"/>
    <col min="12" max="12" width="6.375" style="26" customWidth="1"/>
    <col min="13" max="13" width="6.875" style="26" customWidth="1"/>
    <col min="14" max="14" width="6.25390625" style="26" customWidth="1"/>
    <col min="15" max="15" width="5.75390625" style="163" customWidth="1"/>
    <col min="16" max="16" width="5.75390625" style="26" customWidth="1"/>
    <col min="17" max="17" width="5.375" style="26" customWidth="1"/>
    <col min="18" max="18" width="6.25390625" style="26" customWidth="1"/>
    <col min="19" max="19" width="6.125" style="26" customWidth="1"/>
    <col min="20" max="20" width="7.625" style="26" customWidth="1"/>
    <col min="21" max="21" width="7.00390625" style="26" customWidth="1"/>
    <col min="22" max="22" width="6.25390625" style="26" customWidth="1"/>
    <col min="23" max="23" width="10.625" style="26" hidden="1" customWidth="1"/>
    <col min="24" max="24" width="20.875" style="26" hidden="1" customWidth="1"/>
    <col min="25" max="27" width="0" style="26" hidden="1" customWidth="1"/>
    <col min="28" max="16384" width="9.00390625" style="26" customWidth="1"/>
  </cols>
  <sheetData>
    <row r="1" spans="1:24" ht="30" customHeight="1">
      <c r="A1" s="856" t="s">
        <v>88</v>
      </c>
      <c r="B1" s="856"/>
      <c r="C1" s="856"/>
      <c r="D1" s="856"/>
      <c r="E1" s="856"/>
      <c r="F1" s="856"/>
      <c r="G1" s="856"/>
      <c r="H1" s="856"/>
      <c r="I1" s="856"/>
      <c r="J1" s="856"/>
      <c r="K1" s="856"/>
      <c r="L1" s="856"/>
      <c r="M1" s="856"/>
      <c r="N1" s="856"/>
      <c r="O1" s="856"/>
      <c r="P1" s="856"/>
      <c r="Q1" s="856"/>
      <c r="R1" s="856"/>
      <c r="S1" s="856"/>
      <c r="T1" s="856"/>
      <c r="U1" s="856"/>
      <c r="V1" s="856"/>
      <c r="W1" s="146"/>
      <c r="X1" s="146"/>
    </row>
    <row r="2" spans="1:24" s="148" customFormat="1" ht="22.5" customHeight="1">
      <c r="A2" s="857" t="s">
        <v>305</v>
      </c>
      <c r="B2" s="857"/>
      <c r="C2" s="857"/>
      <c r="D2" s="857"/>
      <c r="E2" s="857"/>
      <c r="F2" s="857"/>
      <c r="G2" s="857"/>
      <c r="H2" s="857"/>
      <c r="I2" s="857"/>
      <c r="J2" s="857"/>
      <c r="K2" s="857"/>
      <c r="L2" s="857"/>
      <c r="M2" s="857"/>
      <c r="N2" s="857"/>
      <c r="O2" s="857"/>
      <c r="P2" s="857"/>
      <c r="Q2" s="857"/>
      <c r="R2" s="857"/>
      <c r="S2" s="857"/>
      <c r="T2" s="857"/>
      <c r="U2" s="857"/>
      <c r="V2" s="857"/>
      <c r="W2" s="147"/>
      <c r="X2" s="147"/>
    </row>
    <row r="3" spans="1:24" s="148" customFormat="1" ht="22.5" customHeight="1">
      <c r="A3" s="858"/>
      <c r="B3" s="858"/>
      <c r="C3" s="858"/>
      <c r="D3" s="858"/>
      <c r="E3" s="858"/>
      <c r="F3" s="858"/>
      <c r="G3" s="858"/>
      <c r="H3" s="858"/>
      <c r="I3" s="858"/>
      <c r="J3" s="858"/>
      <c r="K3" s="858"/>
      <c r="L3" s="858"/>
      <c r="M3" s="858"/>
      <c r="N3" s="858"/>
      <c r="O3" s="858"/>
      <c r="P3" s="858"/>
      <c r="Q3" s="858"/>
      <c r="R3" s="858"/>
      <c r="S3" s="858"/>
      <c r="T3" s="858"/>
      <c r="U3" s="858"/>
      <c r="V3" s="858"/>
      <c r="W3" s="147"/>
      <c r="X3" s="147"/>
    </row>
    <row r="4" spans="1:23" s="151" customFormat="1" ht="30" customHeight="1">
      <c r="A4" s="859" t="s">
        <v>0</v>
      </c>
      <c r="B4" s="860" t="s">
        <v>51</v>
      </c>
      <c r="C4" s="845" t="s">
        <v>26</v>
      </c>
      <c r="D4" s="846"/>
      <c r="E4" s="846"/>
      <c r="F4" s="846"/>
      <c r="G4" s="846"/>
      <c r="H4" s="847"/>
      <c r="I4" s="845" t="s">
        <v>44</v>
      </c>
      <c r="J4" s="846"/>
      <c r="K4" s="846"/>
      <c r="L4" s="846"/>
      <c r="M4" s="846"/>
      <c r="N4" s="847"/>
      <c r="O4" s="848" t="s">
        <v>45</v>
      </c>
      <c r="P4" s="849"/>
      <c r="Q4" s="849"/>
      <c r="R4" s="849"/>
      <c r="S4" s="849"/>
      <c r="T4" s="850"/>
      <c r="U4" s="866" t="s">
        <v>43</v>
      </c>
      <c r="V4" s="859" t="s">
        <v>14</v>
      </c>
      <c r="W4" s="150"/>
    </row>
    <row r="5" spans="1:24" s="151" customFormat="1" ht="18" customHeight="1">
      <c r="A5" s="859"/>
      <c r="B5" s="860"/>
      <c r="C5" s="860" t="s">
        <v>38</v>
      </c>
      <c r="D5" s="869" t="s">
        <v>21</v>
      </c>
      <c r="E5" s="869"/>
      <c r="F5" s="869"/>
      <c r="G5" s="869"/>
      <c r="H5" s="854" t="s">
        <v>201</v>
      </c>
      <c r="I5" s="860" t="s">
        <v>38</v>
      </c>
      <c r="J5" s="851" t="s">
        <v>21</v>
      </c>
      <c r="K5" s="852"/>
      <c r="L5" s="852"/>
      <c r="M5" s="853"/>
      <c r="N5" s="854" t="s">
        <v>37</v>
      </c>
      <c r="O5" s="860" t="s">
        <v>38</v>
      </c>
      <c r="P5" s="851" t="s">
        <v>21</v>
      </c>
      <c r="Q5" s="852"/>
      <c r="R5" s="852"/>
      <c r="S5" s="853"/>
      <c r="T5" s="854" t="s">
        <v>37</v>
      </c>
      <c r="U5" s="866"/>
      <c r="V5" s="859"/>
      <c r="W5" s="152"/>
      <c r="X5" s="153"/>
    </row>
    <row r="6" spans="1:24" s="151" customFormat="1" ht="102">
      <c r="A6" s="859"/>
      <c r="B6" s="860"/>
      <c r="C6" s="860"/>
      <c r="D6" s="149" t="s">
        <v>39</v>
      </c>
      <c r="E6" s="149" t="s">
        <v>40</v>
      </c>
      <c r="F6" s="149" t="s">
        <v>41</v>
      </c>
      <c r="G6" s="149" t="s">
        <v>42</v>
      </c>
      <c r="H6" s="855"/>
      <c r="I6" s="860"/>
      <c r="J6" s="149" t="s">
        <v>39</v>
      </c>
      <c r="K6" s="149" t="s">
        <v>40</v>
      </c>
      <c r="L6" s="149" t="s">
        <v>41</v>
      </c>
      <c r="M6" s="149" t="s">
        <v>42</v>
      </c>
      <c r="N6" s="855"/>
      <c r="O6" s="860"/>
      <c r="P6" s="149" t="s">
        <v>39</v>
      </c>
      <c r="Q6" s="149" t="s">
        <v>40</v>
      </c>
      <c r="R6" s="149" t="s">
        <v>41</v>
      </c>
      <c r="S6" s="149" t="s">
        <v>42</v>
      </c>
      <c r="T6" s="855"/>
      <c r="U6" s="866"/>
      <c r="V6" s="859"/>
      <c r="W6" s="155" t="s">
        <v>28</v>
      </c>
      <c r="X6" s="153"/>
    </row>
    <row r="7" spans="1:23" s="68" customFormat="1" ht="24" customHeight="1">
      <c r="A7" s="497">
        <v>1</v>
      </c>
      <c r="B7" s="208" t="s">
        <v>90</v>
      </c>
      <c r="C7" s="498">
        <f>SUM(D7:G7)</f>
        <v>10.96</v>
      </c>
      <c r="D7" s="335">
        <v>2.75</v>
      </c>
      <c r="E7" s="335">
        <v>8.21</v>
      </c>
      <c r="F7" s="335"/>
      <c r="G7" s="337"/>
      <c r="H7" s="337"/>
      <c r="I7" s="527">
        <f>SUM(J7:M7)</f>
        <v>0</v>
      </c>
      <c r="J7" s="528"/>
      <c r="K7" s="528"/>
      <c r="L7" s="528"/>
      <c r="M7" s="529"/>
      <c r="N7" s="529"/>
      <c r="O7" s="498">
        <f>SUM(P7:S7)</f>
        <v>1.65</v>
      </c>
      <c r="P7" s="466"/>
      <c r="Q7" s="466">
        <v>1.65</v>
      </c>
      <c r="R7" s="466"/>
      <c r="S7" s="466"/>
      <c r="T7" s="499">
        <v>185</v>
      </c>
      <c r="U7" s="467">
        <f>+O7/C7</f>
        <v>0.15054744525547442</v>
      </c>
      <c r="V7" s="500"/>
      <c r="W7" s="71" t="s">
        <v>27</v>
      </c>
    </row>
    <row r="8" spans="1:25" s="68" customFormat="1" ht="18" customHeight="1">
      <c r="A8" s="501">
        <v>2</v>
      </c>
      <c r="B8" s="211" t="s">
        <v>91</v>
      </c>
      <c r="C8" s="502">
        <f>SUM(D8:G8)</f>
        <v>5.86</v>
      </c>
      <c r="D8" s="344">
        <v>3.24</v>
      </c>
      <c r="E8" s="344">
        <v>2.62</v>
      </c>
      <c r="F8" s="344"/>
      <c r="G8" s="344"/>
      <c r="H8" s="344"/>
      <c r="I8" s="530">
        <f>SUM(J8:M8)</f>
        <v>0</v>
      </c>
      <c r="J8" s="531"/>
      <c r="K8" s="531"/>
      <c r="L8" s="531"/>
      <c r="M8" s="531"/>
      <c r="N8" s="532"/>
      <c r="O8" s="502">
        <f aca="true" t="shared" si="0" ref="O8:O39">SUM(P8:S8)</f>
        <v>1</v>
      </c>
      <c r="P8" s="504">
        <v>0.4</v>
      </c>
      <c r="Q8" s="504">
        <v>0.6</v>
      </c>
      <c r="R8" s="504"/>
      <c r="S8" s="504"/>
      <c r="T8" s="503">
        <v>186</v>
      </c>
      <c r="U8" s="472">
        <f aca="true" t="shared" si="1" ref="U8:U39">+O8/C8</f>
        <v>0.1706484641638225</v>
      </c>
      <c r="V8" s="505"/>
      <c r="W8" s="68" t="s">
        <v>31</v>
      </c>
      <c r="Y8" s="77" t="e">
        <f>+#REF!-66</f>
        <v>#REF!</v>
      </c>
    </row>
    <row r="9" spans="1:23" ht="23.25" customHeight="1">
      <c r="A9" s="501">
        <v>3</v>
      </c>
      <c r="B9" s="211" t="s">
        <v>92</v>
      </c>
      <c r="C9" s="502">
        <f aca="true" t="shared" si="2" ref="C9:C39">SUM(D9:G9)</f>
        <v>4.25</v>
      </c>
      <c r="D9" s="342">
        <v>2.25</v>
      </c>
      <c r="E9" s="342">
        <v>2</v>
      </c>
      <c r="F9" s="342"/>
      <c r="G9" s="342"/>
      <c r="H9" s="342"/>
      <c r="I9" s="530">
        <f aca="true" t="shared" si="3" ref="I9:I39">SUM(J9:M9)</f>
        <v>0</v>
      </c>
      <c r="J9" s="531"/>
      <c r="K9" s="531"/>
      <c r="L9" s="531"/>
      <c r="M9" s="531"/>
      <c r="N9" s="532"/>
      <c r="O9" s="502">
        <f t="shared" si="0"/>
        <v>0</v>
      </c>
      <c r="P9" s="475"/>
      <c r="Q9" s="475"/>
      <c r="R9" s="475"/>
      <c r="S9" s="475"/>
      <c r="T9" s="503"/>
      <c r="U9" s="472">
        <f t="shared" si="1"/>
        <v>0</v>
      </c>
      <c r="V9" s="476"/>
      <c r="W9" s="26" t="s">
        <v>29</v>
      </c>
    </row>
    <row r="10" spans="1:23" ht="24.75" customHeight="1">
      <c r="A10" s="501">
        <v>4</v>
      </c>
      <c r="B10" s="211" t="s">
        <v>93</v>
      </c>
      <c r="C10" s="502">
        <f t="shared" si="2"/>
        <v>1.45</v>
      </c>
      <c r="D10" s="342"/>
      <c r="E10" s="342">
        <v>1.45</v>
      </c>
      <c r="F10" s="342"/>
      <c r="G10" s="342"/>
      <c r="H10" s="342"/>
      <c r="I10" s="530">
        <f t="shared" si="3"/>
        <v>0</v>
      </c>
      <c r="J10" s="531"/>
      <c r="K10" s="531"/>
      <c r="L10" s="531"/>
      <c r="M10" s="531"/>
      <c r="N10" s="532"/>
      <c r="O10" s="502">
        <f t="shared" si="0"/>
        <v>0</v>
      </c>
      <c r="P10" s="475"/>
      <c r="Q10" s="475"/>
      <c r="R10" s="506"/>
      <c r="S10" s="475"/>
      <c r="T10" s="507"/>
      <c r="U10" s="472">
        <f t="shared" si="1"/>
        <v>0</v>
      </c>
      <c r="V10" s="476"/>
      <c r="W10" s="26" t="s">
        <v>31</v>
      </c>
    </row>
    <row r="11" spans="1:22" ht="21.75" customHeight="1">
      <c r="A11" s="501">
        <v>5</v>
      </c>
      <c r="B11" s="303" t="s">
        <v>94</v>
      </c>
      <c r="C11" s="508">
        <f t="shared" si="2"/>
        <v>0</v>
      </c>
      <c r="D11" s="509"/>
      <c r="E11" s="509"/>
      <c r="F11" s="509"/>
      <c r="G11" s="509"/>
      <c r="H11" s="509"/>
      <c r="I11" s="533">
        <f t="shared" si="3"/>
        <v>0</v>
      </c>
      <c r="J11" s="534"/>
      <c r="K11" s="534"/>
      <c r="L11" s="534"/>
      <c r="M11" s="534"/>
      <c r="N11" s="535"/>
      <c r="O11" s="508">
        <f t="shared" si="0"/>
        <v>0</v>
      </c>
      <c r="P11" s="510"/>
      <c r="Q11" s="510"/>
      <c r="R11" s="510"/>
      <c r="S11" s="510"/>
      <c r="T11" s="511"/>
      <c r="U11" s="512"/>
      <c r="V11" s="476"/>
    </row>
    <row r="12" spans="1:22" s="68" customFormat="1" ht="21.75" customHeight="1">
      <c r="A12" s="501">
        <v>6</v>
      </c>
      <c r="B12" s="211" t="s">
        <v>95</v>
      </c>
      <c r="C12" s="502">
        <f t="shared" si="2"/>
        <v>2</v>
      </c>
      <c r="D12" s="344"/>
      <c r="E12" s="344">
        <v>1</v>
      </c>
      <c r="F12" s="344">
        <v>1</v>
      </c>
      <c r="G12" s="344"/>
      <c r="H12" s="344"/>
      <c r="I12" s="530">
        <f t="shared" si="3"/>
        <v>0</v>
      </c>
      <c r="J12" s="531"/>
      <c r="K12" s="531"/>
      <c r="L12" s="531"/>
      <c r="M12" s="531"/>
      <c r="N12" s="532"/>
      <c r="O12" s="502">
        <f t="shared" si="0"/>
        <v>0</v>
      </c>
      <c r="P12" s="504"/>
      <c r="Q12" s="504"/>
      <c r="R12" s="504"/>
      <c r="S12" s="344"/>
      <c r="T12" s="513"/>
      <c r="U12" s="472">
        <f t="shared" si="1"/>
        <v>0</v>
      </c>
      <c r="V12" s="505"/>
    </row>
    <row r="13" spans="1:22" s="68" customFormat="1" ht="21.75" customHeight="1">
      <c r="A13" s="501">
        <v>7</v>
      </c>
      <c r="B13" s="211" t="s">
        <v>96</v>
      </c>
      <c r="C13" s="502">
        <f t="shared" si="2"/>
        <v>1.7100000000000002</v>
      </c>
      <c r="D13" s="344">
        <v>0.4</v>
      </c>
      <c r="E13" s="514">
        <v>0.97</v>
      </c>
      <c r="F13" s="514">
        <v>0.34</v>
      </c>
      <c r="G13" s="344"/>
      <c r="H13" s="344"/>
      <c r="I13" s="530">
        <f t="shared" si="3"/>
        <v>0</v>
      </c>
      <c r="J13" s="531"/>
      <c r="K13" s="531"/>
      <c r="L13" s="531"/>
      <c r="M13" s="531"/>
      <c r="N13" s="532"/>
      <c r="O13" s="502">
        <f t="shared" si="0"/>
        <v>0</v>
      </c>
      <c r="P13" s="504"/>
      <c r="Q13" s="504"/>
      <c r="R13" s="504"/>
      <c r="S13" s="504"/>
      <c r="T13" s="507"/>
      <c r="U13" s="472">
        <f t="shared" si="1"/>
        <v>0</v>
      </c>
      <c r="V13" s="505"/>
    </row>
    <row r="14" spans="1:22" s="68" customFormat="1" ht="21.75" customHeight="1">
      <c r="A14" s="501">
        <v>8</v>
      </c>
      <c r="B14" s="211" t="s">
        <v>97</v>
      </c>
      <c r="C14" s="502">
        <f t="shared" si="2"/>
        <v>2.3</v>
      </c>
      <c r="D14" s="344">
        <v>2.3</v>
      </c>
      <c r="E14" s="514"/>
      <c r="F14" s="514"/>
      <c r="G14" s="344"/>
      <c r="H14" s="344"/>
      <c r="I14" s="530">
        <f t="shared" si="3"/>
        <v>0</v>
      </c>
      <c r="J14" s="531"/>
      <c r="K14" s="531"/>
      <c r="L14" s="531"/>
      <c r="M14" s="531"/>
      <c r="N14" s="532"/>
      <c r="O14" s="502">
        <f t="shared" si="0"/>
        <v>0.8</v>
      </c>
      <c r="P14" s="504">
        <v>0.8</v>
      </c>
      <c r="Q14" s="504"/>
      <c r="R14" s="504"/>
      <c r="S14" s="504"/>
      <c r="T14" s="515">
        <v>194.4</v>
      </c>
      <c r="U14" s="472">
        <f t="shared" si="1"/>
        <v>0.3478260869565218</v>
      </c>
      <c r="V14" s="505"/>
    </row>
    <row r="15" spans="1:22" s="68" customFormat="1" ht="21.75" customHeight="1">
      <c r="A15" s="501">
        <v>9</v>
      </c>
      <c r="B15" s="211" t="s">
        <v>98</v>
      </c>
      <c r="C15" s="502">
        <f t="shared" si="2"/>
        <v>4.73</v>
      </c>
      <c r="D15" s="344">
        <v>3.65</v>
      </c>
      <c r="E15" s="514">
        <v>1.08</v>
      </c>
      <c r="F15" s="514"/>
      <c r="G15" s="344"/>
      <c r="H15" s="344"/>
      <c r="I15" s="530">
        <f t="shared" si="3"/>
        <v>0</v>
      </c>
      <c r="J15" s="531"/>
      <c r="K15" s="531"/>
      <c r="L15" s="531"/>
      <c r="M15" s="531"/>
      <c r="N15" s="532"/>
      <c r="O15" s="502">
        <f t="shared" si="0"/>
        <v>0</v>
      </c>
      <c r="P15" s="504"/>
      <c r="Q15" s="504"/>
      <c r="R15" s="504"/>
      <c r="S15" s="504"/>
      <c r="T15" s="507"/>
      <c r="U15" s="472">
        <f t="shared" si="1"/>
        <v>0</v>
      </c>
      <c r="V15" s="505"/>
    </row>
    <row r="16" spans="1:22" s="68" customFormat="1" ht="21.75" customHeight="1">
      <c r="A16" s="501">
        <v>10</v>
      </c>
      <c r="B16" s="211" t="s">
        <v>99</v>
      </c>
      <c r="C16" s="502">
        <f t="shared" si="2"/>
        <v>2.41</v>
      </c>
      <c r="D16" s="344">
        <v>2.41</v>
      </c>
      <c r="E16" s="514"/>
      <c r="F16" s="514"/>
      <c r="G16" s="344"/>
      <c r="H16" s="344"/>
      <c r="I16" s="530">
        <f t="shared" si="3"/>
        <v>0</v>
      </c>
      <c r="J16" s="531"/>
      <c r="K16" s="531"/>
      <c r="L16" s="531"/>
      <c r="M16" s="531"/>
      <c r="N16" s="532"/>
      <c r="O16" s="502">
        <f t="shared" si="0"/>
        <v>0</v>
      </c>
      <c r="P16" s="504"/>
      <c r="Q16" s="504"/>
      <c r="R16" s="504"/>
      <c r="S16" s="504"/>
      <c r="T16" s="507">
        <v>85</v>
      </c>
      <c r="U16" s="472">
        <f t="shared" si="1"/>
        <v>0</v>
      </c>
      <c r="V16" s="505"/>
    </row>
    <row r="17" spans="1:22" s="68" customFormat="1" ht="21.75" customHeight="1">
      <c r="A17" s="501">
        <v>11</v>
      </c>
      <c r="B17" s="211" t="s">
        <v>100</v>
      </c>
      <c r="C17" s="502">
        <f t="shared" si="2"/>
        <v>3.1</v>
      </c>
      <c r="D17" s="344"/>
      <c r="E17" s="514">
        <v>3.1</v>
      </c>
      <c r="F17" s="514"/>
      <c r="G17" s="344"/>
      <c r="H17" s="344"/>
      <c r="I17" s="530">
        <f t="shared" si="3"/>
        <v>0</v>
      </c>
      <c r="J17" s="531"/>
      <c r="K17" s="531"/>
      <c r="L17" s="531"/>
      <c r="M17" s="531"/>
      <c r="N17" s="532"/>
      <c r="O17" s="502">
        <f t="shared" si="0"/>
        <v>2.5</v>
      </c>
      <c r="P17" s="504"/>
      <c r="Q17" s="504">
        <v>2.5</v>
      </c>
      <c r="R17" s="504"/>
      <c r="S17" s="504"/>
      <c r="T17" s="507">
        <v>269</v>
      </c>
      <c r="U17" s="472">
        <f t="shared" si="1"/>
        <v>0.8064516129032258</v>
      </c>
      <c r="V17" s="505"/>
    </row>
    <row r="18" spans="1:22" s="68" customFormat="1" ht="21.75" customHeight="1">
      <c r="A18" s="501">
        <v>12</v>
      </c>
      <c r="B18" s="211" t="s">
        <v>101</v>
      </c>
      <c r="C18" s="502">
        <f t="shared" si="2"/>
        <v>4.9</v>
      </c>
      <c r="D18" s="344">
        <v>3.5</v>
      </c>
      <c r="E18" s="514">
        <v>1.4</v>
      </c>
      <c r="F18" s="514"/>
      <c r="G18" s="344"/>
      <c r="H18" s="344"/>
      <c r="I18" s="530">
        <f t="shared" si="3"/>
        <v>0</v>
      </c>
      <c r="J18" s="531"/>
      <c r="K18" s="531"/>
      <c r="L18" s="531"/>
      <c r="M18" s="531"/>
      <c r="N18" s="532"/>
      <c r="O18" s="502">
        <f t="shared" si="0"/>
        <v>0</v>
      </c>
      <c r="P18" s="504"/>
      <c r="Q18" s="504"/>
      <c r="R18" s="504"/>
      <c r="S18" s="504"/>
      <c r="T18" s="507">
        <v>33</v>
      </c>
      <c r="U18" s="472">
        <f t="shared" si="1"/>
        <v>0</v>
      </c>
      <c r="V18" s="505"/>
    </row>
    <row r="19" spans="1:22" s="68" customFormat="1" ht="21.75" customHeight="1">
      <c r="A19" s="501">
        <v>13</v>
      </c>
      <c r="B19" s="211" t="s">
        <v>102</v>
      </c>
      <c r="C19" s="502">
        <f t="shared" si="2"/>
        <v>7.510000000000001</v>
      </c>
      <c r="D19" s="344">
        <v>1.61</v>
      </c>
      <c r="E19" s="514">
        <v>5.9</v>
      </c>
      <c r="F19" s="514"/>
      <c r="G19" s="344"/>
      <c r="H19" s="344"/>
      <c r="I19" s="530">
        <f t="shared" si="3"/>
        <v>0</v>
      </c>
      <c r="J19" s="531"/>
      <c r="K19" s="531"/>
      <c r="L19" s="531"/>
      <c r="M19" s="531"/>
      <c r="N19" s="532"/>
      <c r="O19" s="502">
        <f t="shared" si="0"/>
        <v>2.13</v>
      </c>
      <c r="P19" s="504"/>
      <c r="Q19" s="504">
        <v>2.13</v>
      </c>
      <c r="R19" s="504"/>
      <c r="S19" s="504"/>
      <c r="T19" s="507">
        <v>223</v>
      </c>
      <c r="U19" s="472">
        <f t="shared" si="1"/>
        <v>0.28362183754993336</v>
      </c>
      <c r="V19" s="505"/>
    </row>
    <row r="20" spans="1:22" s="68" customFormat="1" ht="21.75" customHeight="1">
      <c r="A20" s="501">
        <v>14</v>
      </c>
      <c r="B20" s="211" t="s">
        <v>103</v>
      </c>
      <c r="C20" s="502">
        <f t="shared" si="2"/>
        <v>5.5</v>
      </c>
      <c r="D20" s="344">
        <v>2.5</v>
      </c>
      <c r="E20" s="514">
        <v>2</v>
      </c>
      <c r="F20" s="514">
        <v>1</v>
      </c>
      <c r="G20" s="344"/>
      <c r="H20" s="344"/>
      <c r="I20" s="530">
        <f t="shared" si="3"/>
        <v>0</v>
      </c>
      <c r="J20" s="531"/>
      <c r="K20" s="531"/>
      <c r="L20" s="531"/>
      <c r="M20" s="531"/>
      <c r="N20" s="532"/>
      <c r="O20" s="502">
        <f t="shared" si="0"/>
        <v>0</v>
      </c>
      <c r="P20" s="504"/>
      <c r="Q20" s="504"/>
      <c r="R20" s="504"/>
      <c r="S20" s="504"/>
      <c r="T20" s="507"/>
      <c r="U20" s="472">
        <f t="shared" si="1"/>
        <v>0</v>
      </c>
      <c r="V20" s="505"/>
    </row>
    <row r="21" spans="1:22" s="68" customFormat="1" ht="21.75" customHeight="1">
      <c r="A21" s="501">
        <v>15</v>
      </c>
      <c r="B21" s="211" t="s">
        <v>104</v>
      </c>
      <c r="C21" s="502">
        <f t="shared" si="2"/>
        <v>5</v>
      </c>
      <c r="D21" s="344">
        <v>5</v>
      </c>
      <c r="E21" s="514"/>
      <c r="F21" s="514"/>
      <c r="G21" s="344"/>
      <c r="H21" s="344"/>
      <c r="I21" s="530">
        <f t="shared" si="3"/>
        <v>0</v>
      </c>
      <c r="J21" s="531"/>
      <c r="K21" s="531"/>
      <c r="L21" s="531"/>
      <c r="M21" s="531"/>
      <c r="N21" s="532"/>
      <c r="O21" s="502">
        <f t="shared" si="0"/>
        <v>1.2</v>
      </c>
      <c r="P21" s="504">
        <v>1.2</v>
      </c>
      <c r="Q21" s="504"/>
      <c r="R21" s="504"/>
      <c r="S21" s="504"/>
      <c r="T21" s="507">
        <v>196</v>
      </c>
      <c r="U21" s="472">
        <f t="shared" si="1"/>
        <v>0.24</v>
      </c>
      <c r="V21" s="505"/>
    </row>
    <row r="22" spans="1:22" s="68" customFormat="1" ht="21.75" customHeight="1">
      <c r="A22" s="501">
        <v>16</v>
      </c>
      <c r="B22" s="211" t="s">
        <v>105</v>
      </c>
      <c r="C22" s="502">
        <f t="shared" si="2"/>
        <v>3.51</v>
      </c>
      <c r="D22" s="344">
        <v>3.51</v>
      </c>
      <c r="E22" s="514"/>
      <c r="F22" s="514"/>
      <c r="G22" s="344"/>
      <c r="H22" s="344"/>
      <c r="I22" s="530">
        <f t="shared" si="3"/>
        <v>0</v>
      </c>
      <c r="J22" s="531"/>
      <c r="K22" s="531"/>
      <c r="L22" s="531"/>
      <c r="M22" s="531"/>
      <c r="N22" s="532"/>
      <c r="O22" s="502">
        <f t="shared" si="0"/>
        <v>1.4100000000000001</v>
      </c>
      <c r="P22" s="504">
        <v>1.01</v>
      </c>
      <c r="Q22" s="504">
        <v>0.4</v>
      </c>
      <c r="R22" s="504"/>
      <c r="S22" s="504"/>
      <c r="T22" s="507">
        <v>232</v>
      </c>
      <c r="U22" s="472">
        <f t="shared" si="1"/>
        <v>0.4017094017094018</v>
      </c>
      <c r="V22" s="505"/>
    </row>
    <row r="23" spans="1:22" s="68" customFormat="1" ht="21.75" customHeight="1">
      <c r="A23" s="501">
        <v>17</v>
      </c>
      <c r="B23" s="211" t="s">
        <v>106</v>
      </c>
      <c r="C23" s="502">
        <f t="shared" si="2"/>
        <v>2.1</v>
      </c>
      <c r="D23" s="344"/>
      <c r="E23" s="514">
        <v>2.1</v>
      </c>
      <c r="F23" s="514"/>
      <c r="G23" s="344"/>
      <c r="H23" s="344"/>
      <c r="I23" s="530">
        <f t="shared" si="3"/>
        <v>0</v>
      </c>
      <c r="J23" s="531"/>
      <c r="K23" s="531"/>
      <c r="L23" s="531"/>
      <c r="M23" s="531"/>
      <c r="N23" s="532"/>
      <c r="O23" s="502">
        <f t="shared" si="0"/>
        <v>2.1</v>
      </c>
      <c r="P23" s="504"/>
      <c r="Q23" s="504">
        <v>2.1</v>
      </c>
      <c r="R23" s="504"/>
      <c r="S23" s="504"/>
      <c r="T23" s="507">
        <v>246</v>
      </c>
      <c r="U23" s="472">
        <f t="shared" si="1"/>
        <v>1</v>
      </c>
      <c r="V23" s="505"/>
    </row>
    <row r="24" spans="1:22" s="68" customFormat="1" ht="21.75" customHeight="1">
      <c r="A24" s="501">
        <v>18</v>
      </c>
      <c r="B24" s="211" t="s">
        <v>107</v>
      </c>
      <c r="C24" s="502">
        <f t="shared" si="2"/>
        <v>4.2</v>
      </c>
      <c r="D24" s="344">
        <v>4.2</v>
      </c>
      <c r="E24" s="514"/>
      <c r="F24" s="514"/>
      <c r="G24" s="344"/>
      <c r="H24" s="344"/>
      <c r="I24" s="530">
        <f t="shared" si="3"/>
        <v>0</v>
      </c>
      <c r="J24" s="531"/>
      <c r="K24" s="531"/>
      <c r="L24" s="531"/>
      <c r="M24" s="531"/>
      <c r="N24" s="532"/>
      <c r="O24" s="502">
        <f t="shared" si="0"/>
        <v>0</v>
      </c>
      <c r="P24" s="504"/>
      <c r="Q24" s="504"/>
      <c r="R24" s="504"/>
      <c r="S24" s="504"/>
      <c r="T24" s="507"/>
      <c r="U24" s="472">
        <f t="shared" si="1"/>
        <v>0</v>
      </c>
      <c r="V24" s="505"/>
    </row>
    <row r="25" spans="1:22" s="68" customFormat="1" ht="21.75" customHeight="1">
      <c r="A25" s="501">
        <v>19</v>
      </c>
      <c r="B25" s="211" t="s">
        <v>108</v>
      </c>
      <c r="C25" s="502">
        <f t="shared" si="2"/>
        <v>3.1999999999999997</v>
      </c>
      <c r="D25" s="344"/>
      <c r="E25" s="514">
        <v>2.8</v>
      </c>
      <c r="F25" s="514">
        <v>0.4</v>
      </c>
      <c r="G25" s="344"/>
      <c r="H25" s="344"/>
      <c r="I25" s="530">
        <f t="shared" si="3"/>
        <v>0</v>
      </c>
      <c r="J25" s="531"/>
      <c r="K25" s="531"/>
      <c r="L25" s="531"/>
      <c r="M25" s="531"/>
      <c r="N25" s="532"/>
      <c r="O25" s="502">
        <f t="shared" si="0"/>
        <v>0.81</v>
      </c>
      <c r="P25" s="504"/>
      <c r="Q25" s="504">
        <v>0.81</v>
      </c>
      <c r="R25" s="504"/>
      <c r="S25" s="504"/>
      <c r="T25" s="507">
        <v>40</v>
      </c>
      <c r="U25" s="472">
        <f t="shared" si="1"/>
        <v>0.25312500000000004</v>
      </c>
      <c r="V25" s="505"/>
    </row>
    <row r="26" spans="1:22" s="68" customFormat="1" ht="21.75" customHeight="1">
      <c r="A26" s="501">
        <v>20</v>
      </c>
      <c r="B26" s="211" t="s">
        <v>109</v>
      </c>
      <c r="C26" s="502">
        <f t="shared" si="2"/>
        <v>1.3399999999999999</v>
      </c>
      <c r="D26" s="344">
        <v>0.83</v>
      </c>
      <c r="E26" s="514">
        <v>0.51</v>
      </c>
      <c r="F26" s="514"/>
      <c r="G26" s="344"/>
      <c r="H26" s="344"/>
      <c r="I26" s="530">
        <f t="shared" si="3"/>
        <v>0</v>
      </c>
      <c r="J26" s="531"/>
      <c r="K26" s="531"/>
      <c r="L26" s="531"/>
      <c r="M26" s="531"/>
      <c r="N26" s="532"/>
      <c r="O26" s="502">
        <f t="shared" si="0"/>
        <v>0</v>
      </c>
      <c r="P26" s="504"/>
      <c r="Q26" s="504"/>
      <c r="R26" s="504"/>
      <c r="S26" s="504"/>
      <c r="T26" s="507"/>
      <c r="U26" s="472">
        <f t="shared" si="1"/>
        <v>0</v>
      </c>
      <c r="V26" s="505"/>
    </row>
    <row r="27" spans="1:22" s="68" customFormat="1" ht="21.75" customHeight="1">
      <c r="A27" s="501">
        <v>21</v>
      </c>
      <c r="B27" s="211" t="s">
        <v>110</v>
      </c>
      <c r="C27" s="502">
        <f t="shared" si="2"/>
        <v>2</v>
      </c>
      <c r="D27" s="344">
        <v>1</v>
      </c>
      <c r="E27" s="514">
        <v>1</v>
      </c>
      <c r="F27" s="514"/>
      <c r="G27" s="344"/>
      <c r="H27" s="344"/>
      <c r="I27" s="530">
        <f t="shared" si="3"/>
        <v>0</v>
      </c>
      <c r="J27" s="531"/>
      <c r="K27" s="531"/>
      <c r="L27" s="531"/>
      <c r="M27" s="531"/>
      <c r="N27" s="532"/>
      <c r="O27" s="502">
        <f t="shared" si="0"/>
        <v>1</v>
      </c>
      <c r="P27" s="504">
        <v>1</v>
      </c>
      <c r="Q27" s="504"/>
      <c r="R27" s="504"/>
      <c r="S27" s="504"/>
      <c r="T27" s="507">
        <v>125</v>
      </c>
      <c r="U27" s="472">
        <f t="shared" si="1"/>
        <v>0.5</v>
      </c>
      <c r="V27" s="505"/>
    </row>
    <row r="28" spans="1:22" s="68" customFormat="1" ht="21.75" customHeight="1">
      <c r="A28" s="501">
        <v>22</v>
      </c>
      <c r="B28" s="303" t="s">
        <v>111</v>
      </c>
      <c r="C28" s="508">
        <f t="shared" si="2"/>
        <v>0</v>
      </c>
      <c r="D28" s="516"/>
      <c r="E28" s="517"/>
      <c r="F28" s="517"/>
      <c r="G28" s="516"/>
      <c r="H28" s="516"/>
      <c r="I28" s="533">
        <f t="shared" si="3"/>
        <v>0</v>
      </c>
      <c r="J28" s="534"/>
      <c r="K28" s="534"/>
      <c r="L28" s="534"/>
      <c r="M28" s="534"/>
      <c r="N28" s="535"/>
      <c r="O28" s="508">
        <f t="shared" si="0"/>
        <v>0</v>
      </c>
      <c r="P28" s="518"/>
      <c r="Q28" s="518"/>
      <c r="R28" s="518"/>
      <c r="S28" s="518"/>
      <c r="T28" s="519"/>
      <c r="U28" s="512"/>
      <c r="V28" s="505"/>
    </row>
    <row r="29" spans="1:22" s="68" customFormat="1" ht="21.75" customHeight="1">
      <c r="A29" s="501">
        <v>23</v>
      </c>
      <c r="B29" s="303" t="s">
        <v>112</v>
      </c>
      <c r="C29" s="508">
        <f t="shared" si="2"/>
        <v>0</v>
      </c>
      <c r="D29" s="516"/>
      <c r="E29" s="517"/>
      <c r="F29" s="517"/>
      <c r="G29" s="516"/>
      <c r="H29" s="516"/>
      <c r="I29" s="533">
        <f t="shared" si="3"/>
        <v>0</v>
      </c>
      <c r="J29" s="534"/>
      <c r="K29" s="534"/>
      <c r="L29" s="534"/>
      <c r="M29" s="534"/>
      <c r="N29" s="535"/>
      <c r="O29" s="508">
        <f t="shared" si="0"/>
        <v>0</v>
      </c>
      <c r="P29" s="518"/>
      <c r="Q29" s="518"/>
      <c r="R29" s="518"/>
      <c r="S29" s="518"/>
      <c r="T29" s="519"/>
      <c r="U29" s="512"/>
      <c r="V29" s="505"/>
    </row>
    <row r="30" spans="1:22" s="68" customFormat="1" ht="21.75" customHeight="1">
      <c r="A30" s="501">
        <v>24</v>
      </c>
      <c r="B30" s="303" t="s">
        <v>113</v>
      </c>
      <c r="C30" s="508">
        <f t="shared" si="2"/>
        <v>0</v>
      </c>
      <c r="D30" s="516"/>
      <c r="E30" s="517"/>
      <c r="F30" s="517"/>
      <c r="G30" s="516"/>
      <c r="H30" s="516"/>
      <c r="I30" s="533">
        <f t="shared" si="3"/>
        <v>0</v>
      </c>
      <c r="J30" s="534"/>
      <c r="K30" s="534"/>
      <c r="L30" s="534"/>
      <c r="M30" s="534"/>
      <c r="N30" s="535"/>
      <c r="O30" s="508">
        <f t="shared" si="0"/>
        <v>0</v>
      </c>
      <c r="P30" s="518"/>
      <c r="Q30" s="518"/>
      <c r="R30" s="518"/>
      <c r="S30" s="518"/>
      <c r="T30" s="519"/>
      <c r="U30" s="512"/>
      <c r="V30" s="505"/>
    </row>
    <row r="31" spans="1:22" s="68" customFormat="1" ht="21.75" customHeight="1">
      <c r="A31" s="501">
        <v>25</v>
      </c>
      <c r="B31" s="304" t="s">
        <v>114</v>
      </c>
      <c r="C31" s="508">
        <f t="shared" si="2"/>
        <v>0</v>
      </c>
      <c r="D31" s="516"/>
      <c r="E31" s="517"/>
      <c r="F31" s="517"/>
      <c r="G31" s="516"/>
      <c r="H31" s="516"/>
      <c r="I31" s="533">
        <f t="shared" si="3"/>
        <v>0</v>
      </c>
      <c r="J31" s="534"/>
      <c r="K31" s="534"/>
      <c r="L31" s="534"/>
      <c r="M31" s="534"/>
      <c r="N31" s="535"/>
      <c r="O31" s="508">
        <f t="shared" si="0"/>
        <v>0</v>
      </c>
      <c r="P31" s="518"/>
      <c r="Q31" s="518"/>
      <c r="R31" s="518"/>
      <c r="S31" s="518"/>
      <c r="T31" s="519"/>
      <c r="U31" s="512"/>
      <c r="V31" s="505"/>
    </row>
    <row r="32" spans="1:22" s="68" customFormat="1" ht="21.75" customHeight="1">
      <c r="A32" s="501">
        <v>26</v>
      </c>
      <c r="B32" s="303" t="s">
        <v>115</v>
      </c>
      <c r="C32" s="508">
        <f t="shared" si="2"/>
        <v>0</v>
      </c>
      <c r="D32" s="516"/>
      <c r="E32" s="517"/>
      <c r="F32" s="517"/>
      <c r="G32" s="516"/>
      <c r="H32" s="516"/>
      <c r="I32" s="533">
        <f t="shared" si="3"/>
        <v>0</v>
      </c>
      <c r="J32" s="534"/>
      <c r="K32" s="534"/>
      <c r="L32" s="534"/>
      <c r="M32" s="534"/>
      <c r="N32" s="535"/>
      <c r="O32" s="508">
        <f t="shared" si="0"/>
        <v>0</v>
      </c>
      <c r="P32" s="518"/>
      <c r="Q32" s="518"/>
      <c r="R32" s="518"/>
      <c r="S32" s="518"/>
      <c r="T32" s="519"/>
      <c r="U32" s="512"/>
      <c r="V32" s="505"/>
    </row>
    <row r="33" spans="1:22" s="68" customFormat="1" ht="21.75" customHeight="1">
      <c r="A33" s="501">
        <v>27</v>
      </c>
      <c r="B33" s="211" t="s">
        <v>116</v>
      </c>
      <c r="C33" s="502">
        <f t="shared" si="2"/>
        <v>1</v>
      </c>
      <c r="D33" s="344">
        <v>1</v>
      </c>
      <c r="E33" s="514"/>
      <c r="F33" s="514"/>
      <c r="G33" s="344"/>
      <c r="H33" s="344"/>
      <c r="I33" s="530">
        <f t="shared" si="3"/>
        <v>1</v>
      </c>
      <c r="J33" s="531">
        <v>1</v>
      </c>
      <c r="K33" s="531"/>
      <c r="L33" s="531"/>
      <c r="M33" s="531"/>
      <c r="N33" s="435">
        <v>145</v>
      </c>
      <c r="O33" s="502">
        <f t="shared" si="0"/>
        <v>1</v>
      </c>
      <c r="P33" s="504">
        <v>1</v>
      </c>
      <c r="Q33" s="504"/>
      <c r="R33" s="504"/>
      <c r="S33" s="504"/>
      <c r="T33" s="515">
        <v>144.9</v>
      </c>
      <c r="U33" s="472">
        <f t="shared" si="1"/>
        <v>1</v>
      </c>
      <c r="V33" s="505"/>
    </row>
    <row r="34" spans="1:22" s="68" customFormat="1" ht="21.75" customHeight="1">
      <c r="A34" s="501">
        <v>28</v>
      </c>
      <c r="B34" s="211" t="s">
        <v>117</v>
      </c>
      <c r="C34" s="502">
        <f t="shared" si="2"/>
        <v>2.48</v>
      </c>
      <c r="D34" s="344">
        <v>1.88</v>
      </c>
      <c r="E34" s="514">
        <v>0.6</v>
      </c>
      <c r="F34" s="514"/>
      <c r="G34" s="344"/>
      <c r="H34" s="344"/>
      <c r="I34" s="530">
        <f t="shared" si="3"/>
        <v>1.2</v>
      </c>
      <c r="J34" s="531">
        <v>1</v>
      </c>
      <c r="K34" s="531">
        <v>0.2</v>
      </c>
      <c r="L34" s="531"/>
      <c r="M34" s="531"/>
      <c r="N34" s="435">
        <v>393</v>
      </c>
      <c r="O34" s="502">
        <f t="shared" si="0"/>
        <v>1.2</v>
      </c>
      <c r="P34" s="504">
        <v>1</v>
      </c>
      <c r="Q34" s="504">
        <v>0.2</v>
      </c>
      <c r="R34" s="504"/>
      <c r="S34" s="504"/>
      <c r="T34" s="507">
        <v>393</v>
      </c>
      <c r="U34" s="472">
        <f t="shared" si="1"/>
        <v>0.48387096774193544</v>
      </c>
      <c r="V34" s="505"/>
    </row>
    <row r="35" spans="1:22" s="68" customFormat="1" ht="21.75" customHeight="1">
      <c r="A35" s="501">
        <v>29</v>
      </c>
      <c r="B35" s="211" t="s">
        <v>118</v>
      </c>
      <c r="C35" s="502">
        <f t="shared" si="2"/>
        <v>1.05</v>
      </c>
      <c r="D35" s="344">
        <v>1.05</v>
      </c>
      <c r="E35" s="514"/>
      <c r="F35" s="514"/>
      <c r="G35" s="344"/>
      <c r="H35" s="344"/>
      <c r="I35" s="530">
        <f t="shared" si="3"/>
        <v>0</v>
      </c>
      <c r="J35" s="531"/>
      <c r="K35" s="531"/>
      <c r="L35" s="531"/>
      <c r="M35" s="531"/>
      <c r="N35" s="532"/>
      <c r="O35" s="502">
        <f t="shared" si="0"/>
        <v>1.05</v>
      </c>
      <c r="P35" s="504">
        <v>1.05</v>
      </c>
      <c r="Q35" s="504"/>
      <c r="R35" s="504"/>
      <c r="S35" s="504"/>
      <c r="T35" s="507">
        <v>191</v>
      </c>
      <c r="U35" s="472">
        <f t="shared" si="1"/>
        <v>1</v>
      </c>
      <c r="V35" s="505"/>
    </row>
    <row r="36" spans="1:22" s="68" customFormat="1" ht="21.75" customHeight="1">
      <c r="A36" s="501">
        <v>30</v>
      </c>
      <c r="B36" s="211" t="s">
        <v>119</v>
      </c>
      <c r="C36" s="502">
        <f t="shared" si="2"/>
        <v>2.5</v>
      </c>
      <c r="D36" s="344">
        <v>2.4</v>
      </c>
      <c r="E36" s="514">
        <v>0.1</v>
      </c>
      <c r="F36" s="514"/>
      <c r="G36" s="344"/>
      <c r="H36" s="344"/>
      <c r="I36" s="530">
        <f t="shared" si="3"/>
        <v>0</v>
      </c>
      <c r="J36" s="531"/>
      <c r="K36" s="531"/>
      <c r="L36" s="531"/>
      <c r="M36" s="531"/>
      <c r="N36" s="532"/>
      <c r="O36" s="502">
        <f t="shared" si="0"/>
        <v>2.5</v>
      </c>
      <c r="P36" s="504">
        <v>0.5</v>
      </c>
      <c r="Q36" s="504">
        <v>2</v>
      </c>
      <c r="R36" s="504"/>
      <c r="S36" s="504"/>
      <c r="T36" s="507">
        <v>254</v>
      </c>
      <c r="U36" s="472">
        <f t="shared" si="1"/>
        <v>1</v>
      </c>
      <c r="V36" s="505"/>
    </row>
    <row r="37" spans="1:22" s="68" customFormat="1" ht="21.75" customHeight="1">
      <c r="A37" s="501">
        <v>31</v>
      </c>
      <c r="B37" s="211" t="s">
        <v>120</v>
      </c>
      <c r="C37" s="502">
        <f t="shared" si="2"/>
        <v>4</v>
      </c>
      <c r="D37" s="344">
        <v>4</v>
      </c>
      <c r="E37" s="514"/>
      <c r="F37" s="514"/>
      <c r="G37" s="344"/>
      <c r="H37" s="344"/>
      <c r="I37" s="530">
        <f t="shared" si="3"/>
        <v>0.25</v>
      </c>
      <c r="J37" s="531">
        <v>0.25</v>
      </c>
      <c r="K37" s="531"/>
      <c r="L37" s="531"/>
      <c r="M37" s="531"/>
      <c r="N37" s="532">
        <v>40</v>
      </c>
      <c r="O37" s="502">
        <f t="shared" si="0"/>
        <v>0.25</v>
      </c>
      <c r="P37" s="504">
        <v>0.25</v>
      </c>
      <c r="Q37" s="504"/>
      <c r="R37" s="504"/>
      <c r="S37" s="504"/>
      <c r="T37" s="507">
        <v>40</v>
      </c>
      <c r="U37" s="472">
        <f t="shared" si="1"/>
        <v>0.0625</v>
      </c>
      <c r="V37" s="505"/>
    </row>
    <row r="38" spans="1:22" s="68" customFormat="1" ht="21.75" customHeight="1">
      <c r="A38" s="501">
        <v>32</v>
      </c>
      <c r="B38" s="211" t="s">
        <v>159</v>
      </c>
      <c r="C38" s="502">
        <f t="shared" si="2"/>
        <v>0.8</v>
      </c>
      <c r="D38" s="344">
        <v>0.8</v>
      </c>
      <c r="E38" s="514"/>
      <c r="F38" s="514"/>
      <c r="G38" s="344"/>
      <c r="H38" s="344"/>
      <c r="I38" s="530">
        <f t="shared" si="3"/>
        <v>0</v>
      </c>
      <c r="J38" s="531"/>
      <c r="K38" s="531"/>
      <c r="L38" s="531"/>
      <c r="M38" s="531"/>
      <c r="N38" s="532"/>
      <c r="O38" s="502">
        <f t="shared" si="0"/>
        <v>0</v>
      </c>
      <c r="P38" s="504"/>
      <c r="Q38" s="504"/>
      <c r="R38" s="504"/>
      <c r="S38" s="504"/>
      <c r="T38" s="507"/>
      <c r="U38" s="472">
        <f t="shared" si="1"/>
        <v>0</v>
      </c>
      <c r="V38" s="505"/>
    </row>
    <row r="39" spans="1:22" s="68" customFormat="1" ht="19.5" customHeight="1">
      <c r="A39" s="520">
        <v>33</v>
      </c>
      <c r="B39" s="305" t="s">
        <v>121</v>
      </c>
      <c r="C39" s="521">
        <f t="shared" si="2"/>
        <v>3</v>
      </c>
      <c r="D39" s="522">
        <v>2</v>
      </c>
      <c r="E39" s="522">
        <v>1</v>
      </c>
      <c r="F39" s="522"/>
      <c r="G39" s="353"/>
      <c r="H39" s="353"/>
      <c r="I39" s="536">
        <f t="shared" si="3"/>
        <v>0</v>
      </c>
      <c r="J39" s="537">
        <v>0</v>
      </c>
      <c r="K39" s="537"/>
      <c r="L39" s="537"/>
      <c r="M39" s="537"/>
      <c r="N39" s="538"/>
      <c r="O39" s="521">
        <f t="shared" si="0"/>
        <v>0</v>
      </c>
      <c r="P39" s="524"/>
      <c r="Q39" s="524"/>
      <c r="R39" s="524"/>
      <c r="S39" s="524"/>
      <c r="T39" s="523"/>
      <c r="U39" s="495">
        <f t="shared" si="1"/>
        <v>0</v>
      </c>
      <c r="V39" s="525"/>
    </row>
    <row r="40" spans="1:22" ht="21.75" customHeight="1">
      <c r="A40" s="870" t="s">
        <v>23</v>
      </c>
      <c r="B40" s="871"/>
      <c r="C40" s="478">
        <f>SUM(C7:C39)</f>
        <v>92.86</v>
      </c>
      <c r="D40" s="478">
        <f aca="true" t="shared" si="4" ref="D40:U40">SUM(D7:D39)</f>
        <v>52.279999999999994</v>
      </c>
      <c r="E40" s="478">
        <f t="shared" si="4"/>
        <v>37.839999999999996</v>
      </c>
      <c r="F40" s="478">
        <f t="shared" si="4"/>
        <v>2.7399999999999998</v>
      </c>
      <c r="G40" s="478">
        <f t="shared" si="4"/>
        <v>0</v>
      </c>
      <c r="H40" s="478">
        <f t="shared" si="4"/>
        <v>0</v>
      </c>
      <c r="I40" s="478">
        <f t="shared" si="4"/>
        <v>2.45</v>
      </c>
      <c r="J40" s="478">
        <f t="shared" si="4"/>
        <v>2.25</v>
      </c>
      <c r="K40" s="478">
        <f t="shared" si="4"/>
        <v>0.2</v>
      </c>
      <c r="L40" s="478">
        <f t="shared" si="4"/>
        <v>0</v>
      </c>
      <c r="M40" s="478">
        <f t="shared" si="4"/>
        <v>0</v>
      </c>
      <c r="N40" s="478">
        <f t="shared" si="4"/>
        <v>578</v>
      </c>
      <c r="O40" s="478">
        <f t="shared" si="4"/>
        <v>20.6</v>
      </c>
      <c r="P40" s="478">
        <f t="shared" si="4"/>
        <v>8.21</v>
      </c>
      <c r="Q40" s="478">
        <f t="shared" si="4"/>
        <v>12.39</v>
      </c>
      <c r="R40" s="478">
        <f t="shared" si="4"/>
        <v>0</v>
      </c>
      <c r="S40" s="478">
        <f t="shared" si="4"/>
        <v>0</v>
      </c>
      <c r="T40" s="526">
        <f t="shared" si="4"/>
        <v>3037.3</v>
      </c>
      <c r="U40" s="478">
        <f t="shared" si="4"/>
        <v>7.700300816280315</v>
      </c>
      <c r="V40" s="486"/>
    </row>
    <row r="41" spans="2:22" ht="15">
      <c r="B41" s="170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</row>
    <row r="42" spans="2:21" ht="15">
      <c r="B42" s="162"/>
      <c r="N42" s="164"/>
      <c r="Q42" s="36"/>
      <c r="T42" s="165"/>
      <c r="U42" s="166"/>
    </row>
    <row r="43" spans="3:20" ht="15">
      <c r="C43" s="167"/>
      <c r="J43" s="36"/>
      <c r="O43" s="168"/>
      <c r="T43" s="169"/>
    </row>
  </sheetData>
  <sheetProtection/>
  <mergeCells count="20">
    <mergeCell ref="O5:O6"/>
    <mergeCell ref="A1:V1"/>
    <mergeCell ref="A2:V2"/>
    <mergeCell ref="A3:V3"/>
    <mergeCell ref="A4:A6"/>
    <mergeCell ref="B4:B6"/>
    <mergeCell ref="C4:H4"/>
    <mergeCell ref="I4:N4"/>
    <mergeCell ref="O4:T4"/>
    <mergeCell ref="U4:U6"/>
    <mergeCell ref="P5:S5"/>
    <mergeCell ref="T5:T6"/>
    <mergeCell ref="A40:B40"/>
    <mergeCell ref="V4:V6"/>
    <mergeCell ref="C5:C6"/>
    <mergeCell ref="D5:G5"/>
    <mergeCell ref="H5:H6"/>
    <mergeCell ref="I5:I6"/>
    <mergeCell ref="J5:M5"/>
    <mergeCell ref="N5:N6"/>
  </mergeCells>
  <printOptions/>
  <pageMargins left="0.2" right="0.2" top="0.67" bottom="0.45" header="0.5" footer="0.2"/>
  <pageSetup horizontalDpi="600" verticalDpi="6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Z11"/>
  <sheetViews>
    <sheetView zoomScalePageLayoutView="0" workbookViewId="0" topLeftCell="A1">
      <selection activeCell="M5" sqref="M5:M6"/>
    </sheetView>
  </sheetViews>
  <sheetFormatPr defaultColWidth="9.00390625" defaultRowHeight="14.25"/>
  <cols>
    <col min="1" max="1" width="3.625" style="26" customWidth="1"/>
    <col min="2" max="2" width="12.625" style="26" customWidth="1"/>
    <col min="3" max="3" width="0.12890625" style="163" hidden="1" customWidth="1"/>
    <col min="4" max="4" width="7.75390625" style="26" hidden="1" customWidth="1"/>
    <col min="5" max="5" width="7.50390625" style="26" hidden="1" customWidth="1"/>
    <col min="6" max="6" width="9.375" style="26" hidden="1" customWidth="1"/>
    <col min="7" max="7" width="4.875" style="163" customWidth="1"/>
    <col min="8" max="8" width="6.25390625" style="26" customWidth="1"/>
    <col min="9" max="9" width="5.375" style="26" customWidth="1"/>
    <col min="10" max="10" width="6.50390625" style="26" customWidth="1"/>
    <col min="11" max="11" width="6.125" style="26" customWidth="1"/>
    <col min="12" max="12" width="7.00390625" style="26" customWidth="1"/>
    <col min="13" max="13" width="4.875" style="163" customWidth="1"/>
    <col min="14" max="14" width="5.00390625" style="26" customWidth="1"/>
    <col min="15" max="15" width="5.375" style="26" customWidth="1"/>
    <col min="16" max="16" width="5.50390625" style="26" customWidth="1"/>
    <col min="17" max="17" width="5.75390625" style="26" customWidth="1"/>
    <col min="18" max="18" width="6.50390625" style="26" customWidth="1"/>
    <col min="19" max="19" width="5.75390625" style="163" customWidth="1"/>
    <col min="20" max="20" width="6.00390625" style="26" customWidth="1"/>
    <col min="21" max="21" width="5.125" style="26" customWidth="1"/>
    <col min="22" max="22" width="6.125" style="26" customWidth="1"/>
    <col min="23" max="23" width="5.625" style="26" customWidth="1"/>
    <col min="24" max="24" width="7.25390625" style="26" customWidth="1"/>
    <col min="25" max="25" width="7.375" style="26" customWidth="1"/>
    <col min="26" max="26" width="4.50390625" style="26" customWidth="1"/>
    <col min="27" max="16384" width="9.00390625" style="26" customWidth="1"/>
  </cols>
  <sheetData>
    <row r="1" spans="1:26" ht="30" customHeight="1">
      <c r="A1" s="856" t="s">
        <v>303</v>
      </c>
      <c r="B1" s="856"/>
      <c r="C1" s="856"/>
      <c r="D1" s="856"/>
      <c r="E1" s="856"/>
      <c r="F1" s="856"/>
      <c r="G1" s="856"/>
      <c r="H1" s="856"/>
      <c r="I1" s="856"/>
      <c r="J1" s="856"/>
      <c r="K1" s="856"/>
      <c r="L1" s="856"/>
      <c r="M1" s="856"/>
      <c r="N1" s="856"/>
      <c r="O1" s="856"/>
      <c r="P1" s="856"/>
      <c r="Q1" s="856"/>
      <c r="R1" s="856"/>
      <c r="S1" s="856"/>
      <c r="T1" s="856"/>
      <c r="U1" s="856"/>
      <c r="V1" s="856"/>
      <c r="W1" s="856"/>
      <c r="X1" s="856"/>
      <c r="Y1" s="856"/>
      <c r="Z1" s="856"/>
    </row>
    <row r="2" spans="1:26" s="148" customFormat="1" ht="22.5" customHeight="1">
      <c r="A2" s="857" t="s">
        <v>305</v>
      </c>
      <c r="B2" s="857"/>
      <c r="C2" s="857"/>
      <c r="D2" s="857"/>
      <c r="E2" s="857"/>
      <c r="F2" s="857"/>
      <c r="G2" s="857"/>
      <c r="H2" s="857"/>
      <c r="I2" s="857"/>
      <c r="J2" s="857"/>
      <c r="K2" s="857"/>
      <c r="L2" s="857"/>
      <c r="M2" s="857"/>
      <c r="N2" s="857"/>
      <c r="O2" s="857"/>
      <c r="P2" s="857"/>
      <c r="Q2" s="857"/>
      <c r="R2" s="857"/>
      <c r="S2" s="857"/>
      <c r="T2" s="857"/>
      <c r="U2" s="857"/>
      <c r="V2" s="857"/>
      <c r="W2" s="857"/>
      <c r="X2" s="857"/>
      <c r="Y2" s="857"/>
      <c r="Z2" s="857"/>
    </row>
    <row r="3" spans="1:26" s="148" customFormat="1" ht="22.5" customHeight="1">
      <c r="A3" s="858"/>
      <c r="B3" s="858"/>
      <c r="C3" s="858"/>
      <c r="D3" s="858"/>
      <c r="E3" s="858"/>
      <c r="F3" s="858"/>
      <c r="G3" s="858"/>
      <c r="H3" s="858"/>
      <c r="I3" s="858"/>
      <c r="J3" s="858"/>
      <c r="K3" s="858"/>
      <c r="L3" s="858"/>
      <c r="M3" s="858"/>
      <c r="N3" s="858"/>
      <c r="O3" s="858"/>
      <c r="P3" s="858"/>
      <c r="Q3" s="858"/>
      <c r="R3" s="858"/>
      <c r="S3" s="858"/>
      <c r="T3" s="858"/>
      <c r="U3" s="858"/>
      <c r="V3" s="858"/>
      <c r="W3" s="858"/>
      <c r="X3" s="858"/>
      <c r="Y3" s="858"/>
      <c r="Z3" s="858"/>
    </row>
    <row r="4" spans="1:26" s="151" customFormat="1" ht="33" customHeight="1">
      <c r="A4" s="859" t="s">
        <v>0</v>
      </c>
      <c r="B4" s="860" t="s">
        <v>160</v>
      </c>
      <c r="C4" s="861" t="s">
        <v>25</v>
      </c>
      <c r="D4" s="861"/>
      <c r="E4" s="861"/>
      <c r="F4" s="861"/>
      <c r="G4" s="845" t="s">
        <v>26</v>
      </c>
      <c r="H4" s="846"/>
      <c r="I4" s="846"/>
      <c r="J4" s="846"/>
      <c r="K4" s="846"/>
      <c r="L4" s="847"/>
      <c r="M4" s="845" t="s">
        <v>44</v>
      </c>
      <c r="N4" s="846"/>
      <c r="O4" s="846"/>
      <c r="P4" s="846"/>
      <c r="Q4" s="846"/>
      <c r="R4" s="847"/>
      <c r="S4" s="848" t="s">
        <v>45</v>
      </c>
      <c r="T4" s="849"/>
      <c r="U4" s="849"/>
      <c r="V4" s="849"/>
      <c r="W4" s="849"/>
      <c r="X4" s="850"/>
      <c r="Y4" s="866" t="s">
        <v>43</v>
      </c>
      <c r="Z4" s="866" t="s">
        <v>14</v>
      </c>
    </row>
    <row r="5" spans="1:26" s="151" customFormat="1" ht="15.75" customHeight="1">
      <c r="A5" s="859"/>
      <c r="B5" s="860"/>
      <c r="C5" s="861" t="s">
        <v>20</v>
      </c>
      <c r="D5" s="868" t="s">
        <v>21</v>
      </c>
      <c r="E5" s="868"/>
      <c r="F5" s="868"/>
      <c r="G5" s="860" t="s">
        <v>38</v>
      </c>
      <c r="H5" s="869" t="s">
        <v>21</v>
      </c>
      <c r="I5" s="869"/>
      <c r="J5" s="869"/>
      <c r="K5" s="869"/>
      <c r="L5" s="854" t="s">
        <v>202</v>
      </c>
      <c r="M5" s="860" t="s">
        <v>38</v>
      </c>
      <c r="N5" s="851" t="s">
        <v>21</v>
      </c>
      <c r="O5" s="852"/>
      <c r="P5" s="852"/>
      <c r="Q5" s="853"/>
      <c r="R5" s="854" t="s">
        <v>37</v>
      </c>
      <c r="S5" s="860" t="s">
        <v>38</v>
      </c>
      <c r="T5" s="851" t="s">
        <v>21</v>
      </c>
      <c r="U5" s="852"/>
      <c r="V5" s="852"/>
      <c r="W5" s="853"/>
      <c r="X5" s="854" t="s">
        <v>37</v>
      </c>
      <c r="Y5" s="866"/>
      <c r="Z5" s="866"/>
    </row>
    <row r="6" spans="1:26" s="151" customFormat="1" ht="102">
      <c r="A6" s="859"/>
      <c r="B6" s="860"/>
      <c r="C6" s="861"/>
      <c r="D6" s="154" t="s">
        <v>17</v>
      </c>
      <c r="E6" s="154" t="s">
        <v>18</v>
      </c>
      <c r="F6" s="154" t="s">
        <v>19</v>
      </c>
      <c r="G6" s="860"/>
      <c r="H6" s="149" t="s">
        <v>39</v>
      </c>
      <c r="I6" s="149" t="s">
        <v>40</v>
      </c>
      <c r="J6" s="149" t="s">
        <v>41</v>
      </c>
      <c r="K6" s="149" t="s">
        <v>42</v>
      </c>
      <c r="L6" s="855"/>
      <c r="M6" s="860"/>
      <c r="N6" s="149" t="s">
        <v>39</v>
      </c>
      <c r="O6" s="149" t="s">
        <v>40</v>
      </c>
      <c r="P6" s="149" t="s">
        <v>41</v>
      </c>
      <c r="Q6" s="149" t="s">
        <v>42</v>
      </c>
      <c r="R6" s="855"/>
      <c r="S6" s="860"/>
      <c r="T6" s="149" t="s">
        <v>39</v>
      </c>
      <c r="U6" s="149" t="s">
        <v>40</v>
      </c>
      <c r="V6" s="149" t="s">
        <v>41</v>
      </c>
      <c r="W6" s="149" t="s">
        <v>42</v>
      </c>
      <c r="X6" s="855"/>
      <c r="Y6" s="866"/>
      <c r="Z6" s="866"/>
    </row>
    <row r="7" spans="1:26" s="68" customFormat="1" ht="24" customHeight="1">
      <c r="A7" s="332">
        <v>1</v>
      </c>
      <c r="B7" s="357" t="s">
        <v>217</v>
      </c>
      <c r="C7" s="334"/>
      <c r="D7" s="335"/>
      <c r="E7" s="335"/>
      <c r="F7" s="335"/>
      <c r="G7" s="336">
        <f>SUM(H7:J7)</f>
        <v>2.6</v>
      </c>
      <c r="H7" s="357">
        <v>1</v>
      </c>
      <c r="I7" s="357"/>
      <c r="J7" s="357">
        <v>1.6</v>
      </c>
      <c r="K7" s="337"/>
      <c r="L7" s="314"/>
      <c r="M7" s="338">
        <f>SUM(N7:Q7)</f>
        <v>0</v>
      </c>
      <c r="N7" s="321"/>
      <c r="O7" s="321"/>
      <c r="P7" s="321"/>
      <c r="Q7" s="322"/>
      <c r="R7" s="321"/>
      <c r="S7" s="338">
        <f>SUM(T7:W7)</f>
        <v>1.198</v>
      </c>
      <c r="T7" s="357">
        <v>0.43</v>
      </c>
      <c r="U7" s="357"/>
      <c r="V7" s="358">
        <v>0.768</v>
      </c>
      <c r="W7" s="357"/>
      <c r="X7" s="357">
        <v>35</v>
      </c>
      <c r="Y7" s="369">
        <f>+S7/G7</f>
        <v>0.4607692307692307</v>
      </c>
      <c r="Z7" s="340"/>
    </row>
    <row r="8" spans="1:26" ht="21.75" customHeight="1">
      <c r="A8" s="923" t="s">
        <v>23</v>
      </c>
      <c r="B8" s="923"/>
      <c r="C8" s="359">
        <f aca="true" t="shared" si="0" ref="C8:J8">+SUM(C7:C7)</f>
        <v>0</v>
      </c>
      <c r="D8" s="360">
        <f t="shared" si="0"/>
        <v>0</v>
      </c>
      <c r="E8" s="360">
        <f t="shared" si="0"/>
        <v>0</v>
      </c>
      <c r="F8" s="360">
        <f t="shared" si="0"/>
        <v>0</v>
      </c>
      <c r="G8" s="362">
        <f t="shared" si="0"/>
        <v>2.6</v>
      </c>
      <c r="H8" s="362">
        <f t="shared" si="0"/>
        <v>1</v>
      </c>
      <c r="I8" s="362">
        <f t="shared" si="0"/>
        <v>0</v>
      </c>
      <c r="J8" s="362">
        <f t="shared" si="0"/>
        <v>1.6</v>
      </c>
      <c r="K8" s="362"/>
      <c r="L8" s="363">
        <f>+SUM(L7:L7)</f>
        <v>0</v>
      </c>
      <c r="M8" s="362">
        <f>+SUM(M7:M7)</f>
        <v>0</v>
      </c>
      <c r="N8" s="362">
        <f>+SUM(N7:N7)</f>
        <v>0</v>
      </c>
      <c r="O8" s="362">
        <f>+SUM(O7:O7)</f>
        <v>0</v>
      </c>
      <c r="P8" s="362">
        <f>+SUM(P7:P7)</f>
        <v>0</v>
      </c>
      <c r="Q8" s="362"/>
      <c r="R8" s="363">
        <f>+SUM(R7:R7)</f>
        <v>0</v>
      </c>
      <c r="S8" s="362">
        <f>+SUM(S7:S7)</f>
        <v>1.198</v>
      </c>
      <c r="T8" s="362">
        <f>+SUM(T7:T7)</f>
        <v>0.43</v>
      </c>
      <c r="U8" s="362">
        <f>+SUM(U7:U7)</f>
        <v>0</v>
      </c>
      <c r="V8" s="362">
        <f>+SUM(V7:V7)</f>
        <v>0.768</v>
      </c>
      <c r="W8" s="362"/>
      <c r="X8" s="363">
        <f>+SUM(X7:X7)</f>
        <v>35</v>
      </c>
      <c r="Y8" s="361">
        <f>+S8/G8</f>
        <v>0.4607692307692307</v>
      </c>
      <c r="Z8" s="364"/>
    </row>
    <row r="9" spans="2:26" ht="15">
      <c r="B9" s="170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</row>
    <row r="10" spans="2:25" ht="15">
      <c r="B10" s="162"/>
      <c r="R10" s="164"/>
      <c r="U10" s="36"/>
      <c r="X10" s="165"/>
      <c r="Y10" s="166"/>
    </row>
    <row r="11" spans="7:24" ht="15">
      <c r="G11" s="167"/>
      <c r="N11" s="36"/>
      <c r="S11" s="168"/>
      <c r="X11" s="169"/>
    </row>
  </sheetData>
  <sheetProtection/>
  <mergeCells count="23">
    <mergeCell ref="X5:X6"/>
    <mergeCell ref="M4:R4"/>
    <mergeCell ref="Z4:Z6"/>
    <mergeCell ref="H5:K5"/>
    <mergeCell ref="L5:L6"/>
    <mergeCell ref="M5:M6"/>
    <mergeCell ref="A1:Z1"/>
    <mergeCell ref="A2:Z2"/>
    <mergeCell ref="A3:Z3"/>
    <mergeCell ref="A4:A6"/>
    <mergeCell ref="B4:B6"/>
    <mergeCell ref="C4:F4"/>
    <mergeCell ref="G4:L4"/>
    <mergeCell ref="S4:X4"/>
    <mergeCell ref="Y4:Y6"/>
    <mergeCell ref="T5:W5"/>
    <mergeCell ref="A8:B8"/>
    <mergeCell ref="N5:Q5"/>
    <mergeCell ref="R5:R6"/>
    <mergeCell ref="S5:S6"/>
    <mergeCell ref="C5:C6"/>
    <mergeCell ref="D5:F5"/>
    <mergeCell ref="G5:G6"/>
  </mergeCells>
  <printOptions/>
  <pageMargins left="0.21" right="0.2" top="0.66" bottom="0.31" header="0.34" footer="0.2"/>
  <pageSetup horizontalDpi="600" verticalDpi="6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Z16"/>
  <sheetViews>
    <sheetView zoomScalePageLayoutView="0" workbookViewId="0" topLeftCell="A1">
      <selection activeCell="M5" sqref="M5:M6"/>
    </sheetView>
  </sheetViews>
  <sheetFormatPr defaultColWidth="9.00390625" defaultRowHeight="14.25"/>
  <cols>
    <col min="1" max="1" width="3.625" style="26" customWidth="1"/>
    <col min="2" max="2" width="12.625" style="26" customWidth="1"/>
    <col min="3" max="3" width="0.12890625" style="163" hidden="1" customWidth="1"/>
    <col min="4" max="4" width="7.75390625" style="26" hidden="1" customWidth="1"/>
    <col min="5" max="5" width="7.50390625" style="26" hidden="1" customWidth="1"/>
    <col min="6" max="6" width="9.375" style="26" hidden="1" customWidth="1"/>
    <col min="7" max="7" width="4.875" style="163" customWidth="1"/>
    <col min="8" max="8" width="6.25390625" style="26" customWidth="1"/>
    <col min="9" max="9" width="5.375" style="26" customWidth="1"/>
    <col min="10" max="10" width="6.50390625" style="26" customWidth="1"/>
    <col min="11" max="11" width="6.125" style="26" customWidth="1"/>
    <col min="12" max="12" width="7.00390625" style="26" customWidth="1"/>
    <col min="13" max="13" width="4.875" style="163" customWidth="1"/>
    <col min="14" max="14" width="5.00390625" style="26" customWidth="1"/>
    <col min="15" max="15" width="5.375" style="26" customWidth="1"/>
    <col min="16" max="16" width="5.50390625" style="26" customWidth="1"/>
    <col min="17" max="17" width="5.75390625" style="26" customWidth="1"/>
    <col min="18" max="18" width="5.875" style="26" customWidth="1"/>
    <col min="19" max="19" width="5.75390625" style="163" customWidth="1"/>
    <col min="20" max="20" width="6.00390625" style="26" customWidth="1"/>
    <col min="21" max="21" width="5.125" style="26" customWidth="1"/>
    <col min="22" max="22" width="6.125" style="26" customWidth="1"/>
    <col min="23" max="23" width="5.625" style="26" customWidth="1"/>
    <col min="24" max="24" width="7.25390625" style="26" customWidth="1"/>
    <col min="25" max="25" width="7.375" style="26" customWidth="1"/>
    <col min="26" max="26" width="4.50390625" style="26" customWidth="1"/>
    <col min="27" max="16384" width="9.00390625" style="26" customWidth="1"/>
  </cols>
  <sheetData>
    <row r="1" spans="1:26" ht="30" customHeight="1">
      <c r="A1" s="856" t="s">
        <v>304</v>
      </c>
      <c r="B1" s="856"/>
      <c r="C1" s="856"/>
      <c r="D1" s="856"/>
      <c r="E1" s="856"/>
      <c r="F1" s="856"/>
      <c r="G1" s="856"/>
      <c r="H1" s="856"/>
      <c r="I1" s="856"/>
      <c r="J1" s="856"/>
      <c r="K1" s="856"/>
      <c r="L1" s="856"/>
      <c r="M1" s="856"/>
      <c r="N1" s="856"/>
      <c r="O1" s="856"/>
      <c r="P1" s="856"/>
      <c r="Q1" s="856"/>
      <c r="R1" s="856"/>
      <c r="S1" s="856"/>
      <c r="T1" s="856"/>
      <c r="U1" s="856"/>
      <c r="V1" s="856"/>
      <c r="W1" s="856"/>
      <c r="X1" s="856"/>
      <c r="Y1" s="856"/>
      <c r="Z1" s="856"/>
    </row>
    <row r="2" spans="1:26" s="148" customFormat="1" ht="22.5" customHeight="1">
      <c r="A2" s="857" t="s">
        <v>305</v>
      </c>
      <c r="B2" s="857"/>
      <c r="C2" s="857"/>
      <c r="D2" s="857"/>
      <c r="E2" s="857"/>
      <c r="F2" s="857"/>
      <c r="G2" s="857"/>
      <c r="H2" s="857"/>
      <c r="I2" s="857"/>
      <c r="J2" s="857"/>
      <c r="K2" s="857"/>
      <c r="L2" s="857"/>
      <c r="M2" s="857"/>
      <c r="N2" s="857"/>
      <c r="O2" s="857"/>
      <c r="P2" s="857"/>
      <c r="Q2" s="857"/>
      <c r="R2" s="857"/>
      <c r="S2" s="857"/>
      <c r="T2" s="857"/>
      <c r="U2" s="857"/>
      <c r="V2" s="857"/>
      <c r="W2" s="857"/>
      <c r="X2" s="857"/>
      <c r="Y2" s="857"/>
      <c r="Z2" s="857"/>
    </row>
    <row r="3" spans="1:26" s="148" customFormat="1" ht="22.5" customHeight="1">
      <c r="A3" s="858"/>
      <c r="B3" s="858"/>
      <c r="C3" s="858"/>
      <c r="D3" s="858"/>
      <c r="E3" s="858"/>
      <c r="F3" s="858"/>
      <c r="G3" s="858"/>
      <c r="H3" s="858"/>
      <c r="I3" s="858"/>
      <c r="J3" s="858"/>
      <c r="K3" s="858"/>
      <c r="L3" s="858"/>
      <c r="M3" s="858"/>
      <c r="N3" s="858"/>
      <c r="O3" s="858"/>
      <c r="P3" s="858"/>
      <c r="Q3" s="858"/>
      <c r="R3" s="858"/>
      <c r="S3" s="858"/>
      <c r="T3" s="858"/>
      <c r="U3" s="858"/>
      <c r="V3" s="858"/>
      <c r="W3" s="858"/>
      <c r="X3" s="858"/>
      <c r="Y3" s="858"/>
      <c r="Z3" s="858"/>
    </row>
    <row r="4" spans="1:26" s="151" customFormat="1" ht="33" customHeight="1">
      <c r="A4" s="859" t="s">
        <v>0</v>
      </c>
      <c r="B4" s="860" t="s">
        <v>160</v>
      </c>
      <c r="C4" s="861" t="s">
        <v>25</v>
      </c>
      <c r="D4" s="861"/>
      <c r="E4" s="861"/>
      <c r="F4" s="861"/>
      <c r="G4" s="845" t="s">
        <v>26</v>
      </c>
      <c r="H4" s="846"/>
      <c r="I4" s="846"/>
      <c r="J4" s="846"/>
      <c r="K4" s="846"/>
      <c r="L4" s="847"/>
      <c r="M4" s="845" t="s">
        <v>44</v>
      </c>
      <c r="N4" s="846"/>
      <c r="O4" s="846"/>
      <c r="P4" s="846"/>
      <c r="Q4" s="846"/>
      <c r="R4" s="847"/>
      <c r="S4" s="848" t="s">
        <v>45</v>
      </c>
      <c r="T4" s="849"/>
      <c r="U4" s="849"/>
      <c r="V4" s="849"/>
      <c r="W4" s="849"/>
      <c r="X4" s="850"/>
      <c r="Y4" s="866" t="s">
        <v>43</v>
      </c>
      <c r="Z4" s="866" t="s">
        <v>14</v>
      </c>
    </row>
    <row r="5" spans="1:26" s="151" customFormat="1" ht="15.75" customHeight="1">
      <c r="A5" s="859"/>
      <c r="B5" s="860"/>
      <c r="C5" s="861" t="s">
        <v>20</v>
      </c>
      <c r="D5" s="868" t="s">
        <v>21</v>
      </c>
      <c r="E5" s="868"/>
      <c r="F5" s="868"/>
      <c r="G5" s="860" t="s">
        <v>38</v>
      </c>
      <c r="H5" s="869" t="s">
        <v>21</v>
      </c>
      <c r="I5" s="869"/>
      <c r="J5" s="869"/>
      <c r="K5" s="869"/>
      <c r="L5" s="854" t="s">
        <v>202</v>
      </c>
      <c r="M5" s="860" t="s">
        <v>38</v>
      </c>
      <c r="N5" s="851" t="s">
        <v>21</v>
      </c>
      <c r="O5" s="852"/>
      <c r="P5" s="852"/>
      <c r="Q5" s="853"/>
      <c r="R5" s="854" t="s">
        <v>37</v>
      </c>
      <c r="S5" s="860" t="s">
        <v>38</v>
      </c>
      <c r="T5" s="851" t="s">
        <v>21</v>
      </c>
      <c r="U5" s="852"/>
      <c r="V5" s="852"/>
      <c r="W5" s="853"/>
      <c r="X5" s="854" t="s">
        <v>37</v>
      </c>
      <c r="Y5" s="866"/>
      <c r="Z5" s="866"/>
    </row>
    <row r="6" spans="1:26" s="151" customFormat="1" ht="102">
      <c r="A6" s="859"/>
      <c r="B6" s="860"/>
      <c r="C6" s="861"/>
      <c r="D6" s="154" t="s">
        <v>17</v>
      </c>
      <c r="E6" s="154" t="s">
        <v>18</v>
      </c>
      <c r="F6" s="154" t="s">
        <v>19</v>
      </c>
      <c r="G6" s="860"/>
      <c r="H6" s="149" t="s">
        <v>39</v>
      </c>
      <c r="I6" s="149" t="s">
        <v>40</v>
      </c>
      <c r="J6" s="149" t="s">
        <v>41</v>
      </c>
      <c r="K6" s="149" t="s">
        <v>42</v>
      </c>
      <c r="L6" s="855"/>
      <c r="M6" s="860"/>
      <c r="N6" s="149" t="s">
        <v>39</v>
      </c>
      <c r="O6" s="149" t="s">
        <v>40</v>
      </c>
      <c r="P6" s="149" t="s">
        <v>41</v>
      </c>
      <c r="Q6" s="149" t="s">
        <v>42</v>
      </c>
      <c r="R6" s="855"/>
      <c r="S6" s="860"/>
      <c r="T6" s="149" t="s">
        <v>39</v>
      </c>
      <c r="U6" s="149" t="s">
        <v>40</v>
      </c>
      <c r="V6" s="149" t="s">
        <v>41</v>
      </c>
      <c r="W6" s="149" t="s">
        <v>42</v>
      </c>
      <c r="X6" s="855"/>
      <c r="Y6" s="866"/>
      <c r="Z6" s="866"/>
    </row>
    <row r="7" spans="1:26" s="68" customFormat="1" ht="24" customHeight="1">
      <c r="A7" s="287">
        <v>1</v>
      </c>
      <c r="B7" s="287" t="s">
        <v>182</v>
      </c>
      <c r="C7" s="334"/>
      <c r="D7" s="335"/>
      <c r="E7" s="335"/>
      <c r="F7" s="335"/>
      <c r="G7" s="463">
        <f aca="true" t="shared" si="0" ref="G7:G12">SUM(H7:J7)</f>
        <v>6.4</v>
      </c>
      <c r="H7" s="288">
        <v>2</v>
      </c>
      <c r="I7" s="288">
        <v>2.5</v>
      </c>
      <c r="J7" s="288">
        <v>1.9</v>
      </c>
      <c r="K7" s="337"/>
      <c r="L7" s="286">
        <f>224.3+366+295</f>
        <v>885.3</v>
      </c>
      <c r="M7" s="464">
        <f aca="true" t="shared" si="1" ref="M7:M12">SUM(N7:Q7)</f>
        <v>2</v>
      </c>
      <c r="N7" s="287">
        <v>1</v>
      </c>
      <c r="O7" s="287">
        <v>0.2</v>
      </c>
      <c r="P7" s="287">
        <v>0.8</v>
      </c>
      <c r="Q7" s="465"/>
      <c r="R7" s="286">
        <v>60</v>
      </c>
      <c r="S7" s="464">
        <f aca="true" t="shared" si="2" ref="S7:S12">SUM(T7:W7)</f>
        <v>2</v>
      </c>
      <c r="T7" s="287">
        <v>1</v>
      </c>
      <c r="U7" s="287">
        <v>0.2</v>
      </c>
      <c r="V7" s="287">
        <v>0.8</v>
      </c>
      <c r="W7" s="466"/>
      <c r="X7" s="286">
        <v>60</v>
      </c>
      <c r="Y7" s="467">
        <f aca="true" t="shared" si="3" ref="Y7:Y13">+S7/G7</f>
        <v>0.3125</v>
      </c>
      <c r="Z7" s="468"/>
    </row>
    <row r="8" spans="1:26" s="68" customFormat="1" ht="18" customHeight="1">
      <c r="A8" s="266">
        <v>2</v>
      </c>
      <c r="B8" s="266" t="s">
        <v>183</v>
      </c>
      <c r="C8" s="343"/>
      <c r="D8" s="344"/>
      <c r="E8" s="344"/>
      <c r="F8" s="344"/>
      <c r="G8" s="469">
        <f t="shared" si="0"/>
        <v>3</v>
      </c>
      <c r="H8" s="269">
        <v>1</v>
      </c>
      <c r="I8" s="269">
        <v>1</v>
      </c>
      <c r="J8" s="269">
        <v>1</v>
      </c>
      <c r="K8" s="344"/>
      <c r="L8" s="268">
        <f>118.1+183+118</f>
        <v>419.1</v>
      </c>
      <c r="M8" s="470">
        <f t="shared" si="1"/>
        <v>0.2</v>
      </c>
      <c r="N8" s="272"/>
      <c r="O8" s="272"/>
      <c r="P8" s="272">
        <v>0.2</v>
      </c>
      <c r="Q8" s="471"/>
      <c r="R8" s="268">
        <v>35</v>
      </c>
      <c r="S8" s="470">
        <f t="shared" si="2"/>
        <v>0.2</v>
      </c>
      <c r="T8" s="272"/>
      <c r="U8" s="272"/>
      <c r="V8" s="272">
        <v>0.2</v>
      </c>
      <c r="W8" s="471"/>
      <c r="X8" s="268">
        <v>35</v>
      </c>
      <c r="Y8" s="472">
        <f t="shared" si="3"/>
        <v>0.06666666666666667</v>
      </c>
      <c r="Z8" s="473"/>
    </row>
    <row r="9" spans="1:26" ht="24.75" customHeight="1">
      <c r="A9" s="266">
        <v>3</v>
      </c>
      <c r="B9" s="266" t="s">
        <v>184</v>
      </c>
      <c r="C9" s="348"/>
      <c r="D9" s="342"/>
      <c r="E9" s="342"/>
      <c r="F9" s="342"/>
      <c r="G9" s="469">
        <f t="shared" si="0"/>
        <v>2</v>
      </c>
      <c r="H9" s="270">
        <v>0</v>
      </c>
      <c r="I9" s="270">
        <v>0.9</v>
      </c>
      <c r="J9" s="270">
        <v>1.1</v>
      </c>
      <c r="K9" s="342"/>
      <c r="L9" s="268">
        <f>129.9+106</f>
        <v>235.9</v>
      </c>
      <c r="M9" s="474">
        <f t="shared" si="1"/>
        <v>0.2</v>
      </c>
      <c r="N9" s="266"/>
      <c r="O9" s="266"/>
      <c r="P9" s="266">
        <v>0.2</v>
      </c>
      <c r="Q9" s="471"/>
      <c r="R9" s="268">
        <v>85</v>
      </c>
      <c r="S9" s="474">
        <f t="shared" si="2"/>
        <v>0.2</v>
      </c>
      <c r="T9" s="266"/>
      <c r="U9" s="266"/>
      <c r="V9" s="266">
        <v>0.2</v>
      </c>
      <c r="W9" s="475"/>
      <c r="X9" s="268">
        <v>85</v>
      </c>
      <c r="Y9" s="472">
        <f t="shared" si="3"/>
        <v>0.1</v>
      </c>
      <c r="Z9" s="476"/>
    </row>
    <row r="10" spans="1:26" ht="21.75" customHeight="1">
      <c r="A10" s="266">
        <v>4</v>
      </c>
      <c r="B10" s="266" t="s">
        <v>185</v>
      </c>
      <c r="C10" s="348"/>
      <c r="D10" s="342"/>
      <c r="E10" s="342"/>
      <c r="F10" s="342"/>
      <c r="G10" s="469">
        <f t="shared" si="0"/>
        <v>0.6</v>
      </c>
      <c r="H10" s="270">
        <v>0</v>
      </c>
      <c r="I10" s="270">
        <v>0</v>
      </c>
      <c r="J10" s="270">
        <v>0.6</v>
      </c>
      <c r="K10" s="342"/>
      <c r="L10" s="268">
        <v>70.8</v>
      </c>
      <c r="M10" s="474">
        <f t="shared" si="1"/>
        <v>0</v>
      </c>
      <c r="N10" s="266"/>
      <c r="O10" s="266"/>
      <c r="P10" s="266"/>
      <c r="Q10" s="471"/>
      <c r="R10" s="268">
        <v>35</v>
      </c>
      <c r="S10" s="474">
        <f t="shared" si="2"/>
        <v>0</v>
      </c>
      <c r="T10" s="266"/>
      <c r="U10" s="266"/>
      <c r="V10" s="266"/>
      <c r="W10" s="475"/>
      <c r="X10" s="268">
        <v>35</v>
      </c>
      <c r="Y10" s="472">
        <f t="shared" si="3"/>
        <v>0</v>
      </c>
      <c r="Z10" s="476"/>
    </row>
    <row r="11" spans="1:26" s="68" customFormat="1" ht="21.75" customHeight="1">
      <c r="A11" s="266">
        <v>5</v>
      </c>
      <c r="B11" s="267" t="s">
        <v>186</v>
      </c>
      <c r="C11" s="343"/>
      <c r="D11" s="344"/>
      <c r="E11" s="344"/>
      <c r="F11" s="344"/>
      <c r="G11" s="469">
        <f t="shared" si="0"/>
        <v>1.5</v>
      </c>
      <c r="H11" s="269">
        <v>0</v>
      </c>
      <c r="I11" s="269">
        <v>0</v>
      </c>
      <c r="J11" s="269">
        <v>1.5</v>
      </c>
      <c r="K11" s="344"/>
      <c r="L11" s="268">
        <f>177.1</f>
        <v>177.1</v>
      </c>
      <c r="M11" s="477">
        <f t="shared" si="1"/>
        <v>0.5</v>
      </c>
      <c r="N11" s="267"/>
      <c r="O11" s="267"/>
      <c r="P11" s="273">
        <v>0.5</v>
      </c>
      <c r="Q11" s="344"/>
      <c r="R11" s="274">
        <v>35</v>
      </c>
      <c r="S11" s="477">
        <f t="shared" si="2"/>
        <v>0.5</v>
      </c>
      <c r="T11" s="267"/>
      <c r="U11" s="267"/>
      <c r="V11" s="273">
        <v>0.5</v>
      </c>
      <c r="W11" s="344"/>
      <c r="X11" s="274">
        <v>35</v>
      </c>
      <c r="Y11" s="472">
        <f t="shared" si="3"/>
        <v>0.3333333333333333</v>
      </c>
      <c r="Z11" s="473"/>
    </row>
    <row r="12" spans="1:26" ht="21.75" customHeight="1">
      <c r="A12" s="487">
        <v>6</v>
      </c>
      <c r="B12" s="488" t="s">
        <v>187</v>
      </c>
      <c r="C12" s="352"/>
      <c r="D12" s="353"/>
      <c r="E12" s="353"/>
      <c r="F12" s="353"/>
      <c r="G12" s="489">
        <f t="shared" si="0"/>
        <v>4.5</v>
      </c>
      <c r="H12" s="490">
        <v>1</v>
      </c>
      <c r="I12" s="490">
        <v>0</v>
      </c>
      <c r="J12" s="490">
        <v>3.5</v>
      </c>
      <c r="K12" s="351"/>
      <c r="L12" s="491">
        <f>413.2+183</f>
        <v>596.2</v>
      </c>
      <c r="M12" s="492">
        <f t="shared" si="1"/>
        <v>2.6</v>
      </c>
      <c r="N12" s="488">
        <v>0.6</v>
      </c>
      <c r="O12" s="488"/>
      <c r="P12" s="488">
        <v>2</v>
      </c>
      <c r="Q12" s="493"/>
      <c r="R12" s="494">
        <v>220</v>
      </c>
      <c r="S12" s="492">
        <f t="shared" si="2"/>
        <v>2.6</v>
      </c>
      <c r="T12" s="488">
        <v>0.6</v>
      </c>
      <c r="U12" s="488"/>
      <c r="V12" s="488">
        <v>2</v>
      </c>
      <c r="W12" s="493"/>
      <c r="X12" s="494">
        <v>220</v>
      </c>
      <c r="Y12" s="495">
        <f t="shared" si="3"/>
        <v>0.5777777777777778</v>
      </c>
      <c r="Z12" s="496"/>
    </row>
    <row r="13" spans="1:26" ht="21.75" customHeight="1">
      <c r="A13" s="942" t="s">
        <v>23</v>
      </c>
      <c r="B13" s="942"/>
      <c r="C13" s="478">
        <f aca="true" t="shared" si="4" ref="C13:J13">+SUM(C7:C12)</f>
        <v>0</v>
      </c>
      <c r="D13" s="479">
        <f t="shared" si="4"/>
        <v>0</v>
      </c>
      <c r="E13" s="479">
        <f t="shared" si="4"/>
        <v>0</v>
      </c>
      <c r="F13" s="479">
        <f t="shared" si="4"/>
        <v>0</v>
      </c>
      <c r="G13" s="480">
        <f t="shared" si="4"/>
        <v>18</v>
      </c>
      <c r="H13" s="481">
        <f t="shared" si="4"/>
        <v>4</v>
      </c>
      <c r="I13" s="481">
        <f t="shared" si="4"/>
        <v>4.4</v>
      </c>
      <c r="J13" s="481">
        <f t="shared" si="4"/>
        <v>9.6</v>
      </c>
      <c r="K13" s="481"/>
      <c r="L13" s="482">
        <f>+SUM(L7:L12)</f>
        <v>2384.4</v>
      </c>
      <c r="M13" s="483">
        <f>+SUM(M7:M12)</f>
        <v>5.5</v>
      </c>
      <c r="N13" s="480">
        <f>+SUM(N7:N12)</f>
        <v>1.6</v>
      </c>
      <c r="O13" s="480">
        <f>+SUM(O7:O12)</f>
        <v>0.2</v>
      </c>
      <c r="P13" s="481">
        <f>+SUM(P7:P12)</f>
        <v>3.7</v>
      </c>
      <c r="Q13" s="481"/>
      <c r="R13" s="484">
        <f>+SUM(R7:R12)</f>
        <v>470</v>
      </c>
      <c r="S13" s="481">
        <f>+SUM(S7:S12)</f>
        <v>5.5</v>
      </c>
      <c r="T13" s="480">
        <f>+SUM(T7:T12)</f>
        <v>1.6</v>
      </c>
      <c r="U13" s="481">
        <f>+SUM(U7:U12)</f>
        <v>0.2</v>
      </c>
      <c r="V13" s="481">
        <f>+SUM(V7:V12)</f>
        <v>3.7</v>
      </c>
      <c r="W13" s="481"/>
      <c r="X13" s="484">
        <f>+SUM(X7:X12)</f>
        <v>470</v>
      </c>
      <c r="Y13" s="485">
        <f t="shared" si="3"/>
        <v>0.3055555555555556</v>
      </c>
      <c r="Z13" s="486"/>
    </row>
    <row r="14" spans="2:26" ht="15">
      <c r="B14" s="170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</row>
    <row r="15" spans="2:25" ht="15">
      <c r="B15" s="162"/>
      <c r="R15" s="164"/>
      <c r="U15" s="36"/>
      <c r="X15" s="165"/>
      <c r="Y15" s="166"/>
    </row>
    <row r="16" spans="7:24" ht="15">
      <c r="G16" s="167"/>
      <c r="N16" s="36"/>
      <c r="S16" s="168"/>
      <c r="X16" s="169"/>
    </row>
  </sheetData>
  <sheetProtection/>
  <mergeCells count="23">
    <mergeCell ref="A13:B13"/>
    <mergeCell ref="N5:Q5"/>
    <mergeCell ref="R5:R6"/>
    <mergeCell ref="S5:S6"/>
    <mergeCell ref="C5:C6"/>
    <mergeCell ref="D5:F5"/>
    <mergeCell ref="G5:G6"/>
    <mergeCell ref="A1:Z1"/>
    <mergeCell ref="A2:Z2"/>
    <mergeCell ref="A3:Z3"/>
    <mergeCell ref="A4:A6"/>
    <mergeCell ref="B4:B6"/>
    <mergeCell ref="C4:F4"/>
    <mergeCell ref="G4:L4"/>
    <mergeCell ref="S4:X4"/>
    <mergeCell ref="Y4:Y6"/>
    <mergeCell ref="T5:W5"/>
    <mergeCell ref="X5:X6"/>
    <mergeCell ref="M4:R4"/>
    <mergeCell ref="Z4:Z6"/>
    <mergeCell ref="H5:K5"/>
    <mergeCell ref="L5:L6"/>
    <mergeCell ref="M5:M6"/>
  </mergeCells>
  <printOptions/>
  <pageMargins left="0.21" right="0.2" top="0.66" bottom="0.31" header="0.34" footer="0.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47"/>
  <sheetViews>
    <sheetView workbookViewId="0" topLeftCell="A1">
      <selection activeCell="L8" sqref="L8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7.125" style="26" customWidth="1"/>
    <col min="20" max="20" width="45.25390625" style="26" customWidth="1"/>
    <col min="21" max="21" width="5.50390625" style="26" customWidth="1"/>
    <col min="22" max="22" width="13.875" style="649" customWidth="1"/>
    <col min="23" max="23" width="10.625" style="26" customWidth="1"/>
    <col min="24" max="24" width="20.875" style="26" customWidth="1"/>
    <col min="25" max="27" width="9.00390625" style="26" customWidth="1"/>
    <col min="28" max="16384" width="9.00390625" style="26" customWidth="1"/>
  </cols>
  <sheetData>
    <row r="1" spans="1:24" ht="30" customHeight="1">
      <c r="A1" s="856" t="s">
        <v>36</v>
      </c>
      <c r="B1" s="856"/>
      <c r="C1" s="856"/>
      <c r="D1" s="856"/>
      <c r="E1" s="856"/>
      <c r="F1" s="856"/>
      <c r="G1" s="856"/>
      <c r="H1" s="856"/>
      <c r="I1" s="856"/>
      <c r="J1" s="856"/>
      <c r="K1" s="856"/>
      <c r="L1" s="856"/>
      <c r="M1" s="856"/>
      <c r="N1" s="856"/>
      <c r="O1" s="856"/>
      <c r="P1" s="856"/>
      <c r="Q1" s="856"/>
      <c r="R1" s="856"/>
      <c r="S1" s="856"/>
      <c r="T1" s="856"/>
      <c r="U1" s="636"/>
      <c r="V1" s="636"/>
      <c r="W1" s="146"/>
      <c r="X1" s="146"/>
    </row>
    <row r="2" spans="1:24" s="148" customFormat="1" ht="22.5" customHeight="1">
      <c r="A2" s="857" t="s">
        <v>348</v>
      </c>
      <c r="B2" s="857"/>
      <c r="C2" s="857"/>
      <c r="D2" s="857"/>
      <c r="E2" s="857"/>
      <c r="F2" s="857"/>
      <c r="G2" s="857"/>
      <c r="H2" s="857"/>
      <c r="I2" s="857"/>
      <c r="J2" s="857"/>
      <c r="K2" s="857"/>
      <c r="L2" s="857"/>
      <c r="M2" s="857"/>
      <c r="N2" s="857"/>
      <c r="O2" s="857"/>
      <c r="P2" s="857"/>
      <c r="Q2" s="857"/>
      <c r="R2" s="857"/>
      <c r="S2" s="857"/>
      <c r="T2" s="857"/>
      <c r="U2" s="637"/>
      <c r="V2" s="637"/>
      <c r="W2" s="147"/>
      <c r="X2" s="147"/>
    </row>
    <row r="3" spans="1:24" s="148" customFormat="1" ht="22.5" customHeight="1">
      <c r="A3" s="858"/>
      <c r="B3" s="858"/>
      <c r="C3" s="858"/>
      <c r="D3" s="858"/>
      <c r="E3" s="858"/>
      <c r="F3" s="858"/>
      <c r="G3" s="858"/>
      <c r="H3" s="858"/>
      <c r="I3" s="858"/>
      <c r="J3" s="858"/>
      <c r="K3" s="858"/>
      <c r="L3" s="858"/>
      <c r="M3" s="858"/>
      <c r="N3" s="858"/>
      <c r="O3" s="858"/>
      <c r="P3" s="858"/>
      <c r="Q3" s="858"/>
      <c r="R3" s="858"/>
      <c r="S3" s="858"/>
      <c r="T3" s="858"/>
      <c r="U3" s="658"/>
      <c r="V3" s="658"/>
      <c r="W3" s="147"/>
      <c r="X3" s="147"/>
    </row>
    <row r="4" spans="1:23" s="151" customFormat="1" ht="46.5" customHeight="1">
      <c r="A4" s="859" t="s">
        <v>0</v>
      </c>
      <c r="B4" s="860" t="s">
        <v>1</v>
      </c>
      <c r="C4" s="861" t="s">
        <v>25</v>
      </c>
      <c r="D4" s="861"/>
      <c r="E4" s="861"/>
      <c r="F4" s="861"/>
      <c r="G4" s="845" t="s">
        <v>26</v>
      </c>
      <c r="H4" s="846"/>
      <c r="I4" s="846"/>
      <c r="J4" s="846"/>
      <c r="K4" s="846"/>
      <c r="L4" s="847"/>
      <c r="M4" s="848" t="s">
        <v>307</v>
      </c>
      <c r="N4" s="849"/>
      <c r="O4" s="849"/>
      <c r="P4" s="849"/>
      <c r="Q4" s="849"/>
      <c r="R4" s="850"/>
      <c r="S4" s="866" t="s">
        <v>43</v>
      </c>
      <c r="T4" s="859" t="s">
        <v>14</v>
      </c>
      <c r="U4" s="866" t="s">
        <v>329</v>
      </c>
      <c r="V4" s="867" t="s">
        <v>313</v>
      </c>
      <c r="W4" s="150"/>
    </row>
    <row r="5" spans="1:24" s="151" customFormat="1" ht="14.25" customHeight="1">
      <c r="A5" s="859"/>
      <c r="B5" s="860"/>
      <c r="C5" s="861" t="s">
        <v>20</v>
      </c>
      <c r="D5" s="868" t="s">
        <v>21</v>
      </c>
      <c r="E5" s="868"/>
      <c r="F5" s="868"/>
      <c r="G5" s="860" t="s">
        <v>38</v>
      </c>
      <c r="H5" s="869" t="s">
        <v>21</v>
      </c>
      <c r="I5" s="869"/>
      <c r="J5" s="869"/>
      <c r="K5" s="869"/>
      <c r="L5" s="854" t="s">
        <v>202</v>
      </c>
      <c r="M5" s="860" t="s">
        <v>38</v>
      </c>
      <c r="N5" s="851" t="s">
        <v>21</v>
      </c>
      <c r="O5" s="852"/>
      <c r="P5" s="852"/>
      <c r="Q5" s="853"/>
      <c r="R5" s="854" t="s">
        <v>37</v>
      </c>
      <c r="S5" s="866"/>
      <c r="T5" s="859"/>
      <c r="U5" s="866"/>
      <c r="V5" s="867"/>
      <c r="W5" s="152"/>
      <c r="X5" s="153"/>
    </row>
    <row r="6" spans="1:24" s="151" customFormat="1" ht="76.5">
      <c r="A6" s="859"/>
      <c r="B6" s="860"/>
      <c r="C6" s="861"/>
      <c r="D6" s="154" t="s">
        <v>17</v>
      </c>
      <c r="E6" s="154" t="s">
        <v>18</v>
      </c>
      <c r="F6" s="154" t="s">
        <v>19</v>
      </c>
      <c r="G6" s="860"/>
      <c r="H6" s="149" t="s">
        <v>39</v>
      </c>
      <c r="I6" s="149" t="s">
        <v>40</v>
      </c>
      <c r="J6" s="149" t="s">
        <v>41</v>
      </c>
      <c r="K6" s="149" t="s">
        <v>42</v>
      </c>
      <c r="L6" s="855"/>
      <c r="M6" s="860"/>
      <c r="N6" s="149" t="s">
        <v>39</v>
      </c>
      <c r="O6" s="149" t="s">
        <v>40</v>
      </c>
      <c r="P6" s="149" t="s">
        <v>41</v>
      </c>
      <c r="Q6" s="149" t="s">
        <v>42</v>
      </c>
      <c r="R6" s="855"/>
      <c r="S6" s="866"/>
      <c r="T6" s="859"/>
      <c r="U6" s="866"/>
      <c r="V6" s="867"/>
      <c r="W6" s="155"/>
      <c r="X6" s="153"/>
    </row>
    <row r="7" spans="1:24" s="148" customFormat="1" ht="17.25" customHeight="1">
      <c r="A7" s="639"/>
      <c r="B7" s="640"/>
      <c r="C7" s="641"/>
      <c r="D7" s="641"/>
      <c r="E7" s="641"/>
      <c r="F7" s="641"/>
      <c r="G7" s="640"/>
      <c r="H7" s="642"/>
      <c r="I7" s="642"/>
      <c r="J7" s="642"/>
      <c r="K7" s="642"/>
      <c r="L7" s="642"/>
      <c r="M7" s="642"/>
      <c r="N7" s="642"/>
      <c r="O7" s="642"/>
      <c r="P7" s="642"/>
      <c r="Q7" s="642"/>
      <c r="R7" s="642"/>
      <c r="S7" s="640"/>
      <c r="T7" s="689"/>
      <c r="U7" s="640"/>
      <c r="V7" s="643"/>
      <c r="W7" s="155"/>
      <c r="X7" s="643"/>
    </row>
    <row r="8" spans="1:23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6645.867999999999</v>
      </c>
      <c r="M8" s="547">
        <f>SUM(N8:Q8)</f>
        <v>36.882</v>
      </c>
      <c r="N8" s="465">
        <v>7.88</v>
      </c>
      <c r="O8" s="465">
        <v>18.24</v>
      </c>
      <c r="P8" s="465">
        <v>10.762</v>
      </c>
      <c r="Q8" s="465"/>
      <c r="R8" s="616">
        <v>7997</v>
      </c>
      <c r="S8" s="549">
        <f aca="true" t="shared" si="0" ref="S8:S20">+M8/G8</f>
        <v>1.0589147286821705</v>
      </c>
      <c r="T8" s="814" t="s">
        <v>311</v>
      </c>
      <c r="U8" s="755">
        <v>4</v>
      </c>
      <c r="V8" s="646">
        <f>+M8+U8</f>
        <v>40.882</v>
      </c>
      <c r="W8" s="71"/>
    </row>
    <row r="9" spans="1:22" s="68" customFormat="1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1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9955.8</v>
      </c>
      <c r="M9" s="826">
        <f aca="true" t="shared" si="2" ref="M9:M19">SUM(N9:Q9)</f>
        <v>36.683</v>
      </c>
      <c r="N9" s="344">
        <v>12.1</v>
      </c>
      <c r="O9" s="514">
        <v>20.29</v>
      </c>
      <c r="P9" s="344">
        <v>4.293</v>
      </c>
      <c r="Q9" s="344"/>
      <c r="R9" s="827">
        <v>5019.85</v>
      </c>
      <c r="S9" s="604">
        <f t="shared" si="0"/>
        <v>0.6353244773896327</v>
      </c>
      <c r="T9" s="828" t="s">
        <v>343</v>
      </c>
      <c r="U9" s="756">
        <f>1.8+2.44</f>
        <v>4.24</v>
      </c>
      <c r="V9" s="646">
        <f aca="true" t="shared" si="3" ref="V9:V19">+M9+U9</f>
        <v>40.923</v>
      </c>
    </row>
    <row r="10" spans="1:25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1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826">
        <f>SUM(N10:Q10)</f>
        <v>33.805</v>
      </c>
      <c r="N10" s="471">
        <v>7.49</v>
      </c>
      <c r="O10" s="471">
        <v>16.98</v>
      </c>
      <c r="P10" s="471">
        <v>9.335</v>
      </c>
      <c r="Q10" s="471"/>
      <c r="R10" s="618">
        <v>5376</v>
      </c>
      <c r="S10" s="604">
        <f t="shared" si="0"/>
        <v>0.7861627906976744</v>
      </c>
      <c r="T10" s="473" t="s">
        <v>337</v>
      </c>
      <c r="U10" s="756">
        <f>0.24+0.26</f>
        <v>0.5</v>
      </c>
      <c r="V10" s="646">
        <f t="shared" si="3"/>
        <v>34.305</v>
      </c>
      <c r="Y10" s="77"/>
    </row>
    <row r="11" spans="1:24" ht="25.5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1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767">
        <f t="shared" si="2"/>
        <v>16.76</v>
      </c>
      <c r="N11" s="607">
        <f>4+1.57</f>
        <v>5.57</v>
      </c>
      <c r="O11" s="471">
        <f>2.1+3.12</f>
        <v>5.220000000000001</v>
      </c>
      <c r="P11" s="471">
        <f>0.32+5.65</f>
        <v>5.970000000000001</v>
      </c>
      <c r="Q11" s="471"/>
      <c r="R11" s="618">
        <v>1891</v>
      </c>
      <c r="S11" s="604">
        <f t="shared" si="0"/>
        <v>0.2793333333333334</v>
      </c>
      <c r="T11" s="828" t="s">
        <v>349</v>
      </c>
      <c r="U11" s="756">
        <v>10.27</v>
      </c>
      <c r="V11" s="646">
        <f t="shared" si="3"/>
        <v>27.03</v>
      </c>
      <c r="X11" s="36"/>
    </row>
    <row r="12" spans="1:22" ht="25.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1"/>
        <v>84.40899999999999</v>
      </c>
      <c r="H12" s="558">
        <f>0.04+20.07</f>
        <v>20.11</v>
      </c>
      <c r="I12" s="558">
        <v>54.049</v>
      </c>
      <c r="J12" s="558">
        <v>7.12</v>
      </c>
      <c r="K12" s="531">
        <v>3.13</v>
      </c>
      <c r="L12" s="629">
        <v>11267.87</v>
      </c>
      <c r="M12" s="767">
        <f t="shared" si="2"/>
        <v>72.7</v>
      </c>
      <c r="N12" s="471">
        <v>18.8</v>
      </c>
      <c r="O12" s="471">
        <v>46.9</v>
      </c>
      <c r="P12" s="471">
        <v>5.7</v>
      </c>
      <c r="Q12" s="471">
        <v>1.3</v>
      </c>
      <c r="R12" s="618">
        <v>9516.4</v>
      </c>
      <c r="S12" s="604">
        <f t="shared" si="0"/>
        <v>0.8612825646554279</v>
      </c>
      <c r="T12" s="828" t="s">
        <v>347</v>
      </c>
      <c r="U12" s="756">
        <v>1.2</v>
      </c>
      <c r="V12" s="646">
        <f t="shared" si="3"/>
        <v>73.9</v>
      </c>
    </row>
    <row r="13" spans="1:22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1"/>
        <v>88.69</v>
      </c>
      <c r="H13" s="558">
        <v>15.02</v>
      </c>
      <c r="I13" s="558">
        <v>43.97</v>
      </c>
      <c r="J13" s="558">
        <v>29.7</v>
      </c>
      <c r="K13" s="531"/>
      <c r="L13" s="629">
        <v>11441.72</v>
      </c>
      <c r="M13" s="767">
        <f t="shared" si="2"/>
        <v>47.39</v>
      </c>
      <c r="N13" s="471">
        <v>5.12</v>
      </c>
      <c r="O13" s="471">
        <v>24.57</v>
      </c>
      <c r="P13" s="471">
        <v>17.7</v>
      </c>
      <c r="Q13" s="471"/>
      <c r="R13" s="618">
        <v>5860</v>
      </c>
      <c r="S13" s="604">
        <f t="shared" si="0"/>
        <v>0.5343330702446725</v>
      </c>
      <c r="T13" s="473"/>
      <c r="U13" s="756"/>
      <c r="V13" s="646">
        <f t="shared" si="3"/>
        <v>47.39</v>
      </c>
    </row>
    <row r="14" spans="1:22" s="68" customFormat="1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1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767">
        <f t="shared" si="2"/>
        <v>81.27</v>
      </c>
      <c r="N14" s="471">
        <v>12.61</v>
      </c>
      <c r="O14" s="471">
        <v>39.85</v>
      </c>
      <c r="P14" s="471">
        <v>28.81</v>
      </c>
      <c r="Q14" s="471"/>
      <c r="R14" s="618">
        <v>9083.8</v>
      </c>
      <c r="S14" s="604">
        <f t="shared" si="0"/>
        <v>0.6095859585958596</v>
      </c>
      <c r="T14" s="473" t="s">
        <v>338</v>
      </c>
      <c r="U14" s="756">
        <f>2.25+14.46</f>
        <v>16.71</v>
      </c>
      <c r="V14" s="646">
        <f t="shared" si="3"/>
        <v>97.97999999999999</v>
      </c>
    </row>
    <row r="15" spans="1:22" ht="25.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1"/>
        <v>94</v>
      </c>
      <c r="H15" s="558">
        <v>28.09</v>
      </c>
      <c r="I15" s="558">
        <v>48.3</v>
      </c>
      <c r="J15" s="558">
        <v>17.61</v>
      </c>
      <c r="K15" s="531"/>
      <c r="L15" s="629">
        <v>12917.85</v>
      </c>
      <c r="M15" s="767">
        <f t="shared" si="2"/>
        <v>70.6</v>
      </c>
      <c r="N15" s="471">
        <v>14.01</v>
      </c>
      <c r="O15" s="471">
        <v>47.26</v>
      </c>
      <c r="P15" s="471">
        <v>9.33</v>
      </c>
      <c r="Q15" s="471"/>
      <c r="R15" s="618">
        <v>9240.54</v>
      </c>
      <c r="S15" s="604">
        <f t="shared" si="0"/>
        <v>0.751063829787234</v>
      </c>
      <c r="T15" s="473" t="s">
        <v>350</v>
      </c>
      <c r="U15" s="756">
        <f>26.6+7.2</f>
        <v>33.800000000000004</v>
      </c>
      <c r="V15" s="646">
        <f t="shared" si="3"/>
        <v>104.4</v>
      </c>
    </row>
    <row r="16" spans="1:22" s="68" customFormat="1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1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767">
        <f>SUM(N16:P16)</f>
        <v>23.43</v>
      </c>
      <c r="N16" s="471">
        <v>5.15</v>
      </c>
      <c r="O16" s="471">
        <v>16.56</v>
      </c>
      <c r="P16" s="471">
        <v>1.72</v>
      </c>
      <c r="Q16" s="471"/>
      <c r="R16" s="618">
        <v>4294.8</v>
      </c>
      <c r="S16" s="604">
        <f t="shared" si="0"/>
        <v>0.6076244813278008</v>
      </c>
      <c r="T16" s="473" t="s">
        <v>344</v>
      </c>
      <c r="U16" s="756">
        <f>1+1.3</f>
        <v>2.3</v>
      </c>
      <c r="V16" s="646">
        <f t="shared" si="3"/>
        <v>25.73</v>
      </c>
    </row>
    <row r="17" spans="1:22" s="68" customFormat="1" ht="51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1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14117.22</v>
      </c>
      <c r="M17" s="767">
        <f t="shared" si="2"/>
        <v>66.31</v>
      </c>
      <c r="N17" s="471">
        <v>27.71</v>
      </c>
      <c r="O17" s="471">
        <v>37.6</v>
      </c>
      <c r="P17" s="471">
        <v>1</v>
      </c>
      <c r="Q17" s="471"/>
      <c r="R17" s="618">
        <v>8763.2</v>
      </c>
      <c r="S17" s="604">
        <f t="shared" si="0"/>
        <v>0.7202911144905497</v>
      </c>
      <c r="T17" s="828" t="s">
        <v>351</v>
      </c>
      <c r="U17" s="756">
        <f>12+6.95</f>
        <v>18.95</v>
      </c>
      <c r="V17" s="646">
        <f t="shared" si="3"/>
        <v>85.26</v>
      </c>
    </row>
    <row r="18" spans="1:22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1"/>
        <v>2.6</v>
      </c>
      <c r="H18" s="607">
        <v>1</v>
      </c>
      <c r="I18" s="607"/>
      <c r="J18" s="607">
        <v>1.6</v>
      </c>
      <c r="K18" s="531"/>
      <c r="L18" s="629">
        <v>438</v>
      </c>
      <c r="M18" s="826">
        <f t="shared" si="2"/>
        <v>1.44</v>
      </c>
      <c r="N18" s="607">
        <f>0.43+0.22+0.03</f>
        <v>0.68</v>
      </c>
      <c r="O18" s="623">
        <f>+TXHL!U8</f>
        <v>0</v>
      </c>
      <c r="P18" s="607">
        <v>0.76</v>
      </c>
      <c r="Q18" s="623"/>
      <c r="R18" s="618">
        <f>+TXHL!X8+31</f>
        <v>66</v>
      </c>
      <c r="S18" s="604">
        <f t="shared" si="0"/>
        <v>0.5538461538461538</v>
      </c>
      <c r="T18" s="473" t="s">
        <v>345</v>
      </c>
      <c r="U18" s="756">
        <v>3.39</v>
      </c>
      <c r="V18" s="646">
        <f t="shared" si="3"/>
        <v>4.83</v>
      </c>
    </row>
    <row r="19" spans="1:22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1"/>
        <v>18</v>
      </c>
      <c r="H19" s="650">
        <v>4</v>
      </c>
      <c r="I19" s="650">
        <v>4.4</v>
      </c>
      <c r="J19" s="650">
        <v>9.6</v>
      </c>
      <c r="K19" s="651"/>
      <c r="L19" s="630">
        <v>2384</v>
      </c>
      <c r="M19" s="584">
        <f t="shared" si="2"/>
        <v>11.1</v>
      </c>
      <c r="N19" s="585">
        <v>2.9</v>
      </c>
      <c r="O19" s="585">
        <v>0.4</v>
      </c>
      <c r="P19" s="585">
        <v>7.8</v>
      </c>
      <c r="Q19" s="624"/>
      <c r="R19" s="621">
        <v>965</v>
      </c>
      <c r="S19" s="610">
        <f t="shared" si="0"/>
        <v>0.6166666666666667</v>
      </c>
      <c r="T19" s="587"/>
      <c r="U19" s="758"/>
      <c r="V19" s="646">
        <f t="shared" si="3"/>
        <v>11.1</v>
      </c>
    </row>
    <row r="20" spans="1:22" ht="21.75" customHeight="1">
      <c r="A20" s="862" t="s">
        <v>23</v>
      </c>
      <c r="B20" s="863"/>
      <c r="C20" s="815">
        <f aca="true" t="shared" si="4" ref="C20:L20">+SUM(C8:C19)</f>
        <v>976.8000000000001</v>
      </c>
      <c r="D20" s="816">
        <f t="shared" si="4"/>
        <v>369.9</v>
      </c>
      <c r="E20" s="816">
        <f t="shared" si="4"/>
        <v>358.7</v>
      </c>
      <c r="F20" s="816">
        <f t="shared" si="4"/>
        <v>248.19999999999996</v>
      </c>
      <c r="G20" s="817">
        <f t="shared" si="4"/>
        <v>747.208</v>
      </c>
      <c r="H20" s="818">
        <f t="shared" si="4"/>
        <v>231.55499999999998</v>
      </c>
      <c r="I20" s="818">
        <f t="shared" si="4"/>
        <v>317.46799999999996</v>
      </c>
      <c r="J20" s="818">
        <f t="shared" si="4"/>
        <v>195.055</v>
      </c>
      <c r="K20" s="818">
        <f>+SUM(K8:K19)</f>
        <v>3.13</v>
      </c>
      <c r="L20" s="819">
        <f t="shared" si="4"/>
        <v>108098.62800000001</v>
      </c>
      <c r="M20" s="820">
        <f aca="true" t="shared" si="5" ref="M20:R20">+SUM(M8:M19)</f>
        <v>498.37000000000006</v>
      </c>
      <c r="N20" s="821">
        <f t="shared" si="5"/>
        <v>120.02000000000001</v>
      </c>
      <c r="O20" s="820">
        <f t="shared" si="5"/>
        <v>273.86999999999995</v>
      </c>
      <c r="P20" s="820">
        <f t="shared" si="5"/>
        <v>103.18</v>
      </c>
      <c r="Q20" s="820">
        <f t="shared" si="5"/>
        <v>1.3</v>
      </c>
      <c r="R20" s="822">
        <f t="shared" si="5"/>
        <v>68073.59000000001</v>
      </c>
      <c r="S20" s="823">
        <f t="shared" si="0"/>
        <v>0.6669762636374345</v>
      </c>
      <c r="T20" s="824" t="str">
        <f>+U4&amp;U20&amp;" km"</f>
        <v>Tổng đường dự án và đường khác: 95,36 km</v>
      </c>
      <c r="U20" s="825">
        <f>+SUM(U8:U19)</f>
        <v>95.36</v>
      </c>
      <c r="V20" s="656">
        <f>SUM(V8:V19)</f>
        <v>593.73</v>
      </c>
    </row>
    <row r="21" spans="2:22" ht="30" customHeight="1">
      <c r="B21" s="864" t="s">
        <v>48</v>
      </c>
      <c r="C21" s="865"/>
      <c r="D21" s="865"/>
      <c r="E21" s="865"/>
      <c r="F21" s="865"/>
      <c r="G21" s="865"/>
      <c r="H21" s="865"/>
      <c r="I21" s="865"/>
      <c r="J21" s="865"/>
      <c r="K21" s="865"/>
      <c r="L21" s="865"/>
      <c r="M21" s="865"/>
      <c r="N21" s="865"/>
      <c r="O21" s="865"/>
      <c r="P21" s="865"/>
      <c r="Q21" s="865"/>
      <c r="R21" s="865"/>
      <c r="S21" s="865"/>
      <c r="T21" s="865"/>
      <c r="U21" s="726"/>
      <c r="V21" s="770"/>
    </row>
    <row r="22" spans="2:22" ht="15">
      <c r="B22" s="162"/>
      <c r="O22" s="36"/>
      <c r="R22" s="165"/>
      <c r="S22" s="166"/>
      <c r="T22" s="26">
        <f>2.77+0.25</f>
        <v>3.02</v>
      </c>
      <c r="V22" s="793"/>
    </row>
    <row r="23" spans="2:19" ht="15">
      <c r="B23" s="659"/>
      <c r="G23" s="167"/>
      <c r="K23" s="26">
        <f>57.74+1+0.5</f>
        <v>59.24</v>
      </c>
      <c r="M23" s="768">
        <f>+M20-395.625</f>
        <v>102.74500000000006</v>
      </c>
      <c r="R23" s="769">
        <f>+R20-55721</f>
        <v>12352.590000000011</v>
      </c>
      <c r="S23" s="26">
        <f>2.1+1.45</f>
        <v>3.55</v>
      </c>
    </row>
    <row r="24" ht="15">
      <c r="S24" s="26">
        <f>1.3+0.12+0.4+0.09+0.86</f>
        <v>2.77</v>
      </c>
    </row>
    <row r="25" spans="13:18" ht="15">
      <c r="M25" s="163">
        <f>+'22.8.2013'!M20</f>
        <v>481.638</v>
      </c>
      <c r="R25" s="26">
        <f>27.03-5.9-0.52-5.77</f>
        <v>14.840000000000003</v>
      </c>
    </row>
    <row r="26" spans="13:16" ht="15">
      <c r="M26" s="163">
        <f>+M20-M25</f>
        <v>16.732000000000085</v>
      </c>
      <c r="P26" s="26">
        <f>10.27-4.5</f>
        <v>5.77</v>
      </c>
    </row>
    <row r="27" spans="14:16" ht="15">
      <c r="N27" s="26">
        <f>17.857-0.897</f>
        <v>16.96</v>
      </c>
      <c r="P27" s="26">
        <f>6.42-5.9</f>
        <v>0.5199999999999996</v>
      </c>
    </row>
    <row r="28" ht="15">
      <c r="P28" s="26">
        <f>27.03-10.34</f>
        <v>16.69</v>
      </c>
    </row>
    <row r="29" ht="15">
      <c r="R29" s="26">
        <f>18.12-27.03+10.34</f>
        <v>1.4299999999999997</v>
      </c>
    </row>
    <row r="47" spans="15:19" ht="15">
      <c r="O47" s="465">
        <v>3.457</v>
      </c>
      <c r="P47" s="465">
        <v>14.248</v>
      </c>
      <c r="Q47" s="465">
        <v>7.3</v>
      </c>
      <c r="R47" s="465"/>
      <c r="S47" s="616">
        <v>4856</v>
      </c>
    </row>
  </sheetData>
  <sheetProtection/>
  <mergeCells count="22">
    <mergeCell ref="A1:T1"/>
    <mergeCell ref="A2:T2"/>
    <mergeCell ref="A3:T3"/>
    <mergeCell ref="A4:A6"/>
    <mergeCell ref="B4:B6"/>
    <mergeCell ref="C4:F4"/>
    <mergeCell ref="U4:U6"/>
    <mergeCell ref="V4:V6"/>
    <mergeCell ref="C5:C6"/>
    <mergeCell ref="D5:F5"/>
    <mergeCell ref="G5:G6"/>
    <mergeCell ref="H5:K5"/>
    <mergeCell ref="G4:L4"/>
    <mergeCell ref="M4:R4"/>
    <mergeCell ref="N5:Q5"/>
    <mergeCell ref="R5:R6"/>
    <mergeCell ref="S4:S6"/>
    <mergeCell ref="T4:T6"/>
    <mergeCell ref="L5:L6"/>
    <mergeCell ref="M5:M6"/>
    <mergeCell ref="A20:B20"/>
    <mergeCell ref="B21:T21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47"/>
  <sheetViews>
    <sheetView workbookViewId="0" topLeftCell="A19">
      <selection activeCell="M14" sqref="M14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7.125" style="26" customWidth="1"/>
    <col min="20" max="20" width="45.25390625" style="26" customWidth="1"/>
    <col min="21" max="21" width="5.50390625" style="26" customWidth="1"/>
    <col min="22" max="22" width="13.875" style="649" customWidth="1"/>
    <col min="23" max="23" width="10.625" style="26" customWidth="1"/>
    <col min="24" max="24" width="20.875" style="26" customWidth="1"/>
    <col min="25" max="27" width="9.00390625" style="26" customWidth="1"/>
    <col min="28" max="16384" width="9.00390625" style="26" customWidth="1"/>
  </cols>
  <sheetData>
    <row r="1" spans="1:24" ht="30" customHeight="1">
      <c r="A1" s="856" t="s">
        <v>36</v>
      </c>
      <c r="B1" s="856"/>
      <c r="C1" s="856"/>
      <c r="D1" s="856"/>
      <c r="E1" s="856"/>
      <c r="F1" s="856"/>
      <c r="G1" s="856"/>
      <c r="H1" s="856"/>
      <c r="I1" s="856"/>
      <c r="J1" s="856"/>
      <c r="K1" s="856"/>
      <c r="L1" s="856"/>
      <c r="M1" s="856"/>
      <c r="N1" s="856"/>
      <c r="O1" s="856"/>
      <c r="P1" s="856"/>
      <c r="Q1" s="856"/>
      <c r="R1" s="856"/>
      <c r="S1" s="856"/>
      <c r="T1" s="856"/>
      <c r="U1" s="636"/>
      <c r="V1" s="636"/>
      <c r="W1" s="146"/>
      <c r="X1" s="146"/>
    </row>
    <row r="2" spans="1:24" s="148" customFormat="1" ht="22.5" customHeight="1">
      <c r="A2" s="857" t="s">
        <v>348</v>
      </c>
      <c r="B2" s="857"/>
      <c r="C2" s="857"/>
      <c r="D2" s="857"/>
      <c r="E2" s="857"/>
      <c r="F2" s="857"/>
      <c r="G2" s="857"/>
      <c r="H2" s="857"/>
      <c r="I2" s="857"/>
      <c r="J2" s="857"/>
      <c r="K2" s="857"/>
      <c r="L2" s="857"/>
      <c r="M2" s="857"/>
      <c r="N2" s="857"/>
      <c r="O2" s="857"/>
      <c r="P2" s="857"/>
      <c r="Q2" s="857"/>
      <c r="R2" s="857"/>
      <c r="S2" s="857"/>
      <c r="T2" s="857"/>
      <c r="U2" s="637"/>
      <c r="V2" s="637"/>
      <c r="W2" s="147"/>
      <c r="X2" s="147"/>
    </row>
    <row r="3" spans="1:24" s="148" customFormat="1" ht="22.5" customHeight="1">
      <c r="A3" s="858"/>
      <c r="B3" s="858"/>
      <c r="C3" s="858"/>
      <c r="D3" s="858"/>
      <c r="E3" s="858"/>
      <c r="F3" s="858"/>
      <c r="G3" s="858"/>
      <c r="H3" s="858"/>
      <c r="I3" s="858"/>
      <c r="J3" s="858"/>
      <c r="K3" s="858"/>
      <c r="L3" s="858"/>
      <c r="M3" s="858"/>
      <c r="N3" s="858"/>
      <c r="O3" s="858"/>
      <c r="P3" s="858"/>
      <c r="Q3" s="858"/>
      <c r="R3" s="858"/>
      <c r="S3" s="858"/>
      <c r="T3" s="858"/>
      <c r="U3" s="658"/>
      <c r="V3" s="658"/>
      <c r="W3" s="147"/>
      <c r="X3" s="147"/>
    </row>
    <row r="4" spans="1:23" s="151" customFormat="1" ht="46.5" customHeight="1">
      <c r="A4" s="859" t="s">
        <v>0</v>
      </c>
      <c r="B4" s="860" t="s">
        <v>1</v>
      </c>
      <c r="C4" s="861" t="s">
        <v>25</v>
      </c>
      <c r="D4" s="861"/>
      <c r="E4" s="861"/>
      <c r="F4" s="861"/>
      <c r="G4" s="845" t="s">
        <v>26</v>
      </c>
      <c r="H4" s="846"/>
      <c r="I4" s="846"/>
      <c r="J4" s="846"/>
      <c r="K4" s="846"/>
      <c r="L4" s="847"/>
      <c r="M4" s="848" t="s">
        <v>307</v>
      </c>
      <c r="N4" s="849"/>
      <c r="O4" s="849"/>
      <c r="P4" s="849"/>
      <c r="Q4" s="849"/>
      <c r="R4" s="850"/>
      <c r="S4" s="866" t="s">
        <v>43</v>
      </c>
      <c r="T4" s="859" t="s">
        <v>14</v>
      </c>
      <c r="U4" s="866" t="s">
        <v>329</v>
      </c>
      <c r="V4" s="867" t="s">
        <v>313</v>
      </c>
      <c r="W4" s="150"/>
    </row>
    <row r="5" spans="1:24" s="151" customFormat="1" ht="14.25" customHeight="1">
      <c r="A5" s="859"/>
      <c r="B5" s="860"/>
      <c r="C5" s="861" t="s">
        <v>20</v>
      </c>
      <c r="D5" s="868" t="s">
        <v>21</v>
      </c>
      <c r="E5" s="868"/>
      <c r="F5" s="868"/>
      <c r="G5" s="860" t="s">
        <v>38</v>
      </c>
      <c r="H5" s="869" t="s">
        <v>21</v>
      </c>
      <c r="I5" s="869"/>
      <c r="J5" s="869"/>
      <c r="K5" s="869"/>
      <c r="L5" s="854" t="s">
        <v>202</v>
      </c>
      <c r="M5" s="860" t="s">
        <v>38</v>
      </c>
      <c r="N5" s="851" t="s">
        <v>21</v>
      </c>
      <c r="O5" s="852"/>
      <c r="P5" s="852"/>
      <c r="Q5" s="853"/>
      <c r="R5" s="854" t="s">
        <v>37</v>
      </c>
      <c r="S5" s="866"/>
      <c r="T5" s="859"/>
      <c r="U5" s="866"/>
      <c r="V5" s="867"/>
      <c r="W5" s="152"/>
      <c r="X5" s="153"/>
    </row>
    <row r="6" spans="1:24" s="151" customFormat="1" ht="76.5">
      <c r="A6" s="859"/>
      <c r="B6" s="860"/>
      <c r="C6" s="861"/>
      <c r="D6" s="154" t="s">
        <v>17</v>
      </c>
      <c r="E6" s="154" t="s">
        <v>18</v>
      </c>
      <c r="F6" s="154" t="s">
        <v>19</v>
      </c>
      <c r="G6" s="860"/>
      <c r="H6" s="149" t="s">
        <v>39</v>
      </c>
      <c r="I6" s="149" t="s">
        <v>40</v>
      </c>
      <c r="J6" s="149" t="s">
        <v>41</v>
      </c>
      <c r="K6" s="149" t="s">
        <v>42</v>
      </c>
      <c r="L6" s="855"/>
      <c r="M6" s="860"/>
      <c r="N6" s="149" t="s">
        <v>39</v>
      </c>
      <c r="O6" s="149" t="s">
        <v>40</v>
      </c>
      <c r="P6" s="149" t="s">
        <v>41</v>
      </c>
      <c r="Q6" s="149" t="s">
        <v>42</v>
      </c>
      <c r="R6" s="855"/>
      <c r="S6" s="866"/>
      <c r="T6" s="859"/>
      <c r="U6" s="866"/>
      <c r="V6" s="867"/>
      <c r="W6" s="155"/>
      <c r="X6" s="153"/>
    </row>
    <row r="7" spans="1:24" s="148" customFormat="1" ht="17.25" customHeight="1">
      <c r="A7" s="639"/>
      <c r="B7" s="640"/>
      <c r="C7" s="641"/>
      <c r="D7" s="641"/>
      <c r="E7" s="641"/>
      <c r="F7" s="641"/>
      <c r="G7" s="640"/>
      <c r="H7" s="642"/>
      <c r="I7" s="642"/>
      <c r="J7" s="642"/>
      <c r="K7" s="642"/>
      <c r="L7" s="642"/>
      <c r="M7" s="642"/>
      <c r="N7" s="642"/>
      <c r="O7" s="642"/>
      <c r="P7" s="642"/>
      <c r="Q7" s="642"/>
      <c r="R7" s="642"/>
      <c r="S7" s="640"/>
      <c r="T7" s="689"/>
      <c r="U7" s="640"/>
      <c r="V7" s="643"/>
      <c r="W7" s="155"/>
      <c r="X7" s="643"/>
    </row>
    <row r="8" spans="1:23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6645.867999999999</v>
      </c>
      <c r="M8" s="547">
        <f>SUM(N8:Q8)</f>
        <v>36.882</v>
      </c>
      <c r="N8" s="465">
        <v>7.88</v>
      </c>
      <c r="O8" s="465">
        <v>18.24</v>
      </c>
      <c r="P8" s="465">
        <v>10.762</v>
      </c>
      <c r="Q8" s="465"/>
      <c r="R8" s="616">
        <v>7997</v>
      </c>
      <c r="S8" s="549">
        <f aca="true" t="shared" si="0" ref="S8:S20">+M8/G8</f>
        <v>1.0589147286821705</v>
      </c>
      <c r="T8" s="814" t="s">
        <v>311</v>
      </c>
      <c r="U8" s="755">
        <v>4</v>
      </c>
      <c r="V8" s="646">
        <f>+M8+U8</f>
        <v>40.882</v>
      </c>
      <c r="W8" s="71"/>
    </row>
    <row r="9" spans="1:22" s="68" customFormat="1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1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9955.8</v>
      </c>
      <c r="M9" s="826">
        <f aca="true" t="shared" si="2" ref="M9:M19">SUM(N9:Q9)</f>
        <v>36.683</v>
      </c>
      <c r="N9" s="344">
        <v>12.1</v>
      </c>
      <c r="O9" s="514">
        <v>20.29</v>
      </c>
      <c r="P9" s="344">
        <v>4.293</v>
      </c>
      <c r="Q9" s="344"/>
      <c r="R9" s="827">
        <v>5019.85</v>
      </c>
      <c r="S9" s="604">
        <f t="shared" si="0"/>
        <v>0.6353244773896327</v>
      </c>
      <c r="T9" s="828" t="s">
        <v>343</v>
      </c>
      <c r="U9" s="756">
        <f>1.8+2.44</f>
        <v>4.24</v>
      </c>
      <c r="V9" s="646">
        <f aca="true" t="shared" si="3" ref="V9:V19">+M9+U9</f>
        <v>40.923</v>
      </c>
    </row>
    <row r="10" spans="1:25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1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826">
        <f>SUM(N10:Q10)</f>
        <v>33.805</v>
      </c>
      <c r="N10" s="471">
        <v>7.49</v>
      </c>
      <c r="O10" s="471">
        <v>16.98</v>
      </c>
      <c r="P10" s="471">
        <v>9.335</v>
      </c>
      <c r="Q10" s="471"/>
      <c r="R10" s="618">
        <v>5376</v>
      </c>
      <c r="S10" s="604">
        <f t="shared" si="0"/>
        <v>0.7861627906976744</v>
      </c>
      <c r="T10" s="473" t="s">
        <v>337</v>
      </c>
      <c r="U10" s="756">
        <f>0.24+0.26</f>
        <v>0.5</v>
      </c>
      <c r="V10" s="646">
        <f t="shared" si="3"/>
        <v>34.305</v>
      </c>
      <c r="Y10" s="77"/>
    </row>
    <row r="11" spans="1:24" ht="25.5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1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767">
        <f t="shared" si="2"/>
        <v>16.76</v>
      </c>
      <c r="N11" s="607">
        <f>4+1.57</f>
        <v>5.57</v>
      </c>
      <c r="O11" s="471">
        <f>2.1+3.12</f>
        <v>5.220000000000001</v>
      </c>
      <c r="P11" s="471">
        <f>0.32+5.65</f>
        <v>5.970000000000001</v>
      </c>
      <c r="Q11" s="471"/>
      <c r="R11" s="618">
        <v>1891</v>
      </c>
      <c r="S11" s="604">
        <f t="shared" si="0"/>
        <v>0.2793333333333334</v>
      </c>
      <c r="T11" s="828" t="s">
        <v>349</v>
      </c>
      <c r="U11" s="756">
        <v>10.27</v>
      </c>
      <c r="V11" s="646">
        <f t="shared" si="3"/>
        <v>27.03</v>
      </c>
      <c r="X11" s="36"/>
    </row>
    <row r="12" spans="1:22" ht="25.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1"/>
        <v>84.369</v>
      </c>
      <c r="H12" s="558">
        <v>20.07</v>
      </c>
      <c r="I12" s="558">
        <v>54.049</v>
      </c>
      <c r="J12" s="558">
        <v>7.12</v>
      </c>
      <c r="K12" s="531">
        <v>3.13</v>
      </c>
      <c r="L12" s="629">
        <v>11267.87</v>
      </c>
      <c r="M12" s="767">
        <f t="shared" si="2"/>
        <v>71.5</v>
      </c>
      <c r="N12" s="471">
        <v>15.7</v>
      </c>
      <c r="O12" s="471">
        <v>47.6</v>
      </c>
      <c r="P12" s="471">
        <v>6.9</v>
      </c>
      <c r="Q12" s="471">
        <v>1.3</v>
      </c>
      <c r="R12" s="618">
        <v>9516.4</v>
      </c>
      <c r="S12" s="604">
        <f t="shared" si="0"/>
        <v>0.8474676717751781</v>
      </c>
      <c r="T12" s="828" t="s">
        <v>347</v>
      </c>
      <c r="U12" s="756">
        <v>1.2</v>
      </c>
      <c r="V12" s="646">
        <f t="shared" si="3"/>
        <v>72.7</v>
      </c>
    </row>
    <row r="13" spans="1:22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1"/>
        <v>88.69</v>
      </c>
      <c r="H13" s="558">
        <v>15.02</v>
      </c>
      <c r="I13" s="558">
        <v>43.97</v>
      </c>
      <c r="J13" s="558">
        <v>29.7</v>
      </c>
      <c r="K13" s="531"/>
      <c r="L13" s="629">
        <v>11441.72</v>
      </c>
      <c r="M13" s="767">
        <f t="shared" si="2"/>
        <v>47.39</v>
      </c>
      <c r="N13" s="471">
        <v>5.12</v>
      </c>
      <c r="O13" s="471">
        <v>24.57</v>
      </c>
      <c r="P13" s="471">
        <v>17.7</v>
      </c>
      <c r="Q13" s="471"/>
      <c r="R13" s="618">
        <v>5860</v>
      </c>
      <c r="S13" s="604">
        <f t="shared" si="0"/>
        <v>0.5343330702446725</v>
      </c>
      <c r="T13" s="473"/>
      <c r="U13" s="756"/>
      <c r="V13" s="646">
        <f t="shared" si="3"/>
        <v>47.39</v>
      </c>
    </row>
    <row r="14" spans="1:22" s="68" customFormat="1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1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767">
        <f t="shared" si="2"/>
        <v>81.27</v>
      </c>
      <c r="N14" s="471">
        <v>12.61</v>
      </c>
      <c r="O14" s="471">
        <v>39.85</v>
      </c>
      <c r="P14" s="471">
        <v>28.81</v>
      </c>
      <c r="Q14" s="471"/>
      <c r="R14" s="618">
        <v>9083.8</v>
      </c>
      <c r="S14" s="604">
        <f t="shared" si="0"/>
        <v>0.6095859585958596</v>
      </c>
      <c r="T14" s="473" t="s">
        <v>338</v>
      </c>
      <c r="U14" s="756">
        <f>2.25+14.46</f>
        <v>16.71</v>
      </c>
      <c r="V14" s="646">
        <f t="shared" si="3"/>
        <v>97.97999999999999</v>
      </c>
    </row>
    <row r="15" spans="1:22" ht="25.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1"/>
        <v>94</v>
      </c>
      <c r="H15" s="558">
        <v>28.09</v>
      </c>
      <c r="I15" s="558">
        <v>48.3</v>
      </c>
      <c r="J15" s="558">
        <v>17.61</v>
      </c>
      <c r="K15" s="531"/>
      <c r="L15" s="629">
        <v>12917.85</v>
      </c>
      <c r="M15" s="767">
        <f t="shared" si="2"/>
        <v>62.919999999999995</v>
      </c>
      <c r="N15" s="471">
        <v>13.29</v>
      </c>
      <c r="O15" s="471">
        <v>41.3</v>
      </c>
      <c r="P15" s="471">
        <v>8.33</v>
      </c>
      <c r="Q15" s="471"/>
      <c r="R15" s="618">
        <v>9012.2</v>
      </c>
      <c r="S15" s="604">
        <f t="shared" si="0"/>
        <v>0.6693617021276596</v>
      </c>
      <c r="T15" s="473" t="s">
        <v>340</v>
      </c>
      <c r="U15" s="756">
        <f>26.6+7.1</f>
        <v>33.7</v>
      </c>
      <c r="V15" s="646">
        <f t="shared" si="3"/>
        <v>96.62</v>
      </c>
    </row>
    <row r="16" spans="1:22" s="68" customFormat="1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1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767">
        <f>SUM(N16:P16)</f>
        <v>23.43</v>
      </c>
      <c r="N16" s="471">
        <v>5.15</v>
      </c>
      <c r="O16" s="471">
        <v>16.56</v>
      </c>
      <c r="P16" s="471">
        <v>1.72</v>
      </c>
      <c r="Q16" s="471"/>
      <c r="R16" s="618">
        <v>4294.8</v>
      </c>
      <c r="S16" s="604">
        <f t="shared" si="0"/>
        <v>0.6076244813278008</v>
      </c>
      <c r="T16" s="473" t="s">
        <v>344</v>
      </c>
      <c r="U16" s="756">
        <f>1+1.3</f>
        <v>2.3</v>
      </c>
      <c r="V16" s="646">
        <f t="shared" si="3"/>
        <v>25.73</v>
      </c>
    </row>
    <row r="17" spans="1:22" s="68" customFormat="1" ht="25.5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1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14117.22</v>
      </c>
      <c r="M17" s="767">
        <f t="shared" si="2"/>
        <v>66.31</v>
      </c>
      <c r="N17" s="471">
        <v>27.71</v>
      </c>
      <c r="O17" s="471">
        <v>37.6</v>
      </c>
      <c r="P17" s="471">
        <v>1</v>
      </c>
      <c r="Q17" s="471"/>
      <c r="R17" s="618">
        <v>8763.2</v>
      </c>
      <c r="S17" s="604">
        <f t="shared" si="0"/>
        <v>0.7202911144905497</v>
      </c>
      <c r="T17" s="473" t="s">
        <v>346</v>
      </c>
      <c r="U17" s="756">
        <f>12+6.95</f>
        <v>18.95</v>
      </c>
      <c r="V17" s="646">
        <f t="shared" si="3"/>
        <v>85.26</v>
      </c>
    </row>
    <row r="18" spans="1:22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1"/>
        <v>2.6</v>
      </c>
      <c r="H18" s="607">
        <v>1</v>
      </c>
      <c r="I18" s="607"/>
      <c r="J18" s="607">
        <v>1.6</v>
      </c>
      <c r="K18" s="531"/>
      <c r="L18" s="629">
        <v>438</v>
      </c>
      <c r="M18" s="826">
        <f t="shared" si="2"/>
        <v>1.44</v>
      </c>
      <c r="N18" s="607">
        <f>0.43+0.22+0.03</f>
        <v>0.68</v>
      </c>
      <c r="O18" s="623">
        <f>+TXHL!U8</f>
        <v>0</v>
      </c>
      <c r="P18" s="607">
        <v>0.76</v>
      </c>
      <c r="Q18" s="623"/>
      <c r="R18" s="618">
        <f>+TXHL!X8+31</f>
        <v>66</v>
      </c>
      <c r="S18" s="604">
        <f t="shared" si="0"/>
        <v>0.5538461538461538</v>
      </c>
      <c r="T18" s="473" t="s">
        <v>345</v>
      </c>
      <c r="U18" s="756">
        <v>3.39</v>
      </c>
      <c r="V18" s="646">
        <f t="shared" si="3"/>
        <v>4.83</v>
      </c>
    </row>
    <row r="19" spans="1:22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1"/>
        <v>18</v>
      </c>
      <c r="H19" s="650">
        <v>4</v>
      </c>
      <c r="I19" s="650">
        <v>4.4</v>
      </c>
      <c r="J19" s="650">
        <v>9.6</v>
      </c>
      <c r="K19" s="651"/>
      <c r="L19" s="630">
        <v>2384</v>
      </c>
      <c r="M19" s="584">
        <f t="shared" si="2"/>
        <v>11.1</v>
      </c>
      <c r="N19" s="585">
        <v>2.9</v>
      </c>
      <c r="O19" s="585">
        <v>0.4</v>
      </c>
      <c r="P19" s="585">
        <v>7.8</v>
      </c>
      <c r="Q19" s="624"/>
      <c r="R19" s="621">
        <v>965</v>
      </c>
      <c r="S19" s="610">
        <f t="shared" si="0"/>
        <v>0.6166666666666667</v>
      </c>
      <c r="T19" s="587"/>
      <c r="U19" s="758"/>
      <c r="V19" s="646">
        <f t="shared" si="3"/>
        <v>11.1</v>
      </c>
    </row>
    <row r="20" spans="1:22" ht="21.75" customHeight="1">
      <c r="A20" s="862" t="s">
        <v>23</v>
      </c>
      <c r="B20" s="863"/>
      <c r="C20" s="815">
        <f aca="true" t="shared" si="4" ref="C20:L20">+SUM(C8:C19)</f>
        <v>976.8000000000001</v>
      </c>
      <c r="D20" s="816">
        <f t="shared" si="4"/>
        <v>369.9</v>
      </c>
      <c r="E20" s="816">
        <f t="shared" si="4"/>
        <v>358.7</v>
      </c>
      <c r="F20" s="816">
        <f t="shared" si="4"/>
        <v>248.19999999999996</v>
      </c>
      <c r="G20" s="817">
        <f t="shared" si="4"/>
        <v>747.168</v>
      </c>
      <c r="H20" s="818">
        <f t="shared" si="4"/>
        <v>231.515</v>
      </c>
      <c r="I20" s="818">
        <f t="shared" si="4"/>
        <v>317.46799999999996</v>
      </c>
      <c r="J20" s="818">
        <f t="shared" si="4"/>
        <v>195.055</v>
      </c>
      <c r="K20" s="818">
        <f>+SUM(K8:K19)</f>
        <v>3.13</v>
      </c>
      <c r="L20" s="819">
        <f t="shared" si="4"/>
        <v>108098.62800000001</v>
      </c>
      <c r="M20" s="820">
        <f aca="true" t="shared" si="5" ref="M20:R20">+SUM(M8:M19)</f>
        <v>489.49</v>
      </c>
      <c r="N20" s="821">
        <f t="shared" si="5"/>
        <v>116.20000000000002</v>
      </c>
      <c r="O20" s="820">
        <f t="shared" si="5"/>
        <v>268.61</v>
      </c>
      <c r="P20" s="820">
        <f t="shared" si="5"/>
        <v>103.38</v>
      </c>
      <c r="Q20" s="820">
        <f t="shared" si="5"/>
        <v>1.3</v>
      </c>
      <c r="R20" s="822">
        <f t="shared" si="5"/>
        <v>67845.25</v>
      </c>
      <c r="S20" s="823">
        <f t="shared" si="0"/>
        <v>0.6551270932373977</v>
      </c>
      <c r="T20" s="824" t="str">
        <f>+U4&amp;U20&amp;" km"</f>
        <v>Tổng đường dự án và đường khác: 95,26 km</v>
      </c>
      <c r="U20" s="825">
        <f>+SUM(U8:U19)</f>
        <v>95.26</v>
      </c>
      <c r="V20" s="656">
        <f>SUM(V8:V19)</f>
        <v>584.7500000000001</v>
      </c>
    </row>
    <row r="21" spans="2:22" ht="30" customHeight="1">
      <c r="B21" s="864" t="s">
        <v>48</v>
      </c>
      <c r="C21" s="865"/>
      <c r="D21" s="865"/>
      <c r="E21" s="865"/>
      <c r="F21" s="865"/>
      <c r="G21" s="865"/>
      <c r="H21" s="865"/>
      <c r="I21" s="865"/>
      <c r="J21" s="865"/>
      <c r="K21" s="865"/>
      <c r="L21" s="865"/>
      <c r="M21" s="865"/>
      <c r="N21" s="865"/>
      <c r="O21" s="865"/>
      <c r="P21" s="865"/>
      <c r="Q21" s="865"/>
      <c r="R21" s="865"/>
      <c r="S21" s="865"/>
      <c r="T21" s="865"/>
      <c r="U21" s="726"/>
      <c r="V21" s="770"/>
    </row>
    <row r="22" spans="2:22" ht="15">
      <c r="B22" s="162"/>
      <c r="O22" s="36"/>
      <c r="R22" s="165"/>
      <c r="S22" s="166"/>
      <c r="T22" s="26">
        <f>2.77+0.25</f>
        <v>3.02</v>
      </c>
      <c r="V22" s="793"/>
    </row>
    <row r="23" spans="2:19" ht="15">
      <c r="B23" s="659"/>
      <c r="G23" s="167"/>
      <c r="K23" s="26">
        <f>57.74+1+0.5</f>
        <v>59.24</v>
      </c>
      <c r="M23" s="768">
        <f>+M20-395.625</f>
        <v>93.86500000000001</v>
      </c>
      <c r="R23" s="769">
        <f>+R20-55721</f>
        <v>12124.25</v>
      </c>
      <c r="S23" s="26">
        <f>2.1+1.45</f>
        <v>3.55</v>
      </c>
    </row>
    <row r="24" ht="15">
      <c r="S24" s="26">
        <f>1.3+0.12+0.4+0.09+0.86</f>
        <v>2.77</v>
      </c>
    </row>
    <row r="25" spans="13:18" ht="15">
      <c r="M25" s="163">
        <f>+'22.8.2013'!M20</f>
        <v>481.638</v>
      </c>
      <c r="R25" s="26">
        <f>27.03-5.9-0.52-5.77</f>
        <v>14.840000000000003</v>
      </c>
    </row>
    <row r="26" spans="13:16" ht="15">
      <c r="M26" s="163">
        <f>+M20-M25</f>
        <v>7.852000000000032</v>
      </c>
      <c r="P26" s="26">
        <f>10.27-4.5</f>
        <v>5.77</v>
      </c>
    </row>
    <row r="27" spans="14:16" ht="15">
      <c r="N27" s="26">
        <f>17.857-0.897</f>
        <v>16.96</v>
      </c>
      <c r="P27" s="26">
        <f>6.42-5.9</f>
        <v>0.5199999999999996</v>
      </c>
    </row>
    <row r="28" ht="15">
      <c r="P28" s="26">
        <f>27.03-10.34</f>
        <v>16.69</v>
      </c>
    </row>
    <row r="29" ht="15">
      <c r="R29" s="26">
        <f>18.12-27.03+10.34</f>
        <v>1.4299999999999997</v>
      </c>
    </row>
    <row r="47" spans="15:19" ht="15">
      <c r="O47" s="465">
        <v>3.457</v>
      </c>
      <c r="P47" s="465">
        <v>14.248</v>
      </c>
      <c r="Q47" s="465">
        <v>7.3</v>
      </c>
      <c r="R47" s="465"/>
      <c r="S47" s="616">
        <v>4856</v>
      </c>
    </row>
  </sheetData>
  <sheetProtection/>
  <mergeCells count="22">
    <mergeCell ref="A1:T1"/>
    <mergeCell ref="A2:T2"/>
    <mergeCell ref="A3:T3"/>
    <mergeCell ref="A4:A6"/>
    <mergeCell ref="B4:B6"/>
    <mergeCell ref="C4:F4"/>
    <mergeCell ref="U4:U6"/>
    <mergeCell ref="V4:V6"/>
    <mergeCell ref="C5:C6"/>
    <mergeCell ref="D5:F5"/>
    <mergeCell ref="G5:G6"/>
    <mergeCell ref="H5:K5"/>
    <mergeCell ref="L5:L6"/>
    <mergeCell ref="M5:M6"/>
    <mergeCell ref="N5:Q5"/>
    <mergeCell ref="R5:R6"/>
    <mergeCell ref="G4:L4"/>
    <mergeCell ref="M4:R4"/>
    <mergeCell ref="S4:S6"/>
    <mergeCell ref="T4:T6"/>
    <mergeCell ref="A20:B20"/>
    <mergeCell ref="B21:T21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47"/>
  <sheetViews>
    <sheetView workbookViewId="0" topLeftCell="A4">
      <selection activeCell="M14" sqref="M14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7.125" style="26" customWidth="1"/>
    <col min="20" max="20" width="45.25390625" style="26" customWidth="1"/>
    <col min="21" max="21" width="5.50390625" style="26" customWidth="1"/>
    <col min="22" max="22" width="13.875" style="649" customWidth="1"/>
    <col min="23" max="23" width="10.625" style="26" customWidth="1"/>
    <col min="24" max="24" width="20.875" style="26" customWidth="1"/>
    <col min="25" max="27" width="9.00390625" style="26" customWidth="1"/>
    <col min="28" max="16384" width="9.00390625" style="26" customWidth="1"/>
  </cols>
  <sheetData>
    <row r="1" spans="1:24" ht="30" customHeight="1">
      <c r="A1" s="856" t="s">
        <v>36</v>
      </c>
      <c r="B1" s="856"/>
      <c r="C1" s="856"/>
      <c r="D1" s="856"/>
      <c r="E1" s="856"/>
      <c r="F1" s="856"/>
      <c r="G1" s="856"/>
      <c r="H1" s="856"/>
      <c r="I1" s="856"/>
      <c r="J1" s="856"/>
      <c r="K1" s="856"/>
      <c r="L1" s="856"/>
      <c r="M1" s="856"/>
      <c r="N1" s="856"/>
      <c r="O1" s="856"/>
      <c r="P1" s="856"/>
      <c r="Q1" s="856"/>
      <c r="R1" s="856"/>
      <c r="S1" s="856"/>
      <c r="T1" s="856"/>
      <c r="U1" s="636"/>
      <c r="V1" s="636"/>
      <c r="W1" s="146"/>
      <c r="X1" s="146"/>
    </row>
    <row r="2" spans="1:24" s="148" customFormat="1" ht="22.5" customHeight="1">
      <c r="A2" s="857" t="s">
        <v>342</v>
      </c>
      <c r="B2" s="857"/>
      <c r="C2" s="857"/>
      <c r="D2" s="857"/>
      <c r="E2" s="857"/>
      <c r="F2" s="857"/>
      <c r="G2" s="857"/>
      <c r="H2" s="857"/>
      <c r="I2" s="857"/>
      <c r="J2" s="857"/>
      <c r="K2" s="857"/>
      <c r="L2" s="857"/>
      <c r="M2" s="857"/>
      <c r="N2" s="857"/>
      <c r="O2" s="857"/>
      <c r="P2" s="857"/>
      <c r="Q2" s="857"/>
      <c r="R2" s="857"/>
      <c r="S2" s="857"/>
      <c r="T2" s="857"/>
      <c r="U2" s="637"/>
      <c r="V2" s="637"/>
      <c r="W2" s="147"/>
      <c r="X2" s="147"/>
    </row>
    <row r="3" spans="1:24" s="148" customFormat="1" ht="22.5" customHeight="1">
      <c r="A3" s="858"/>
      <c r="B3" s="858"/>
      <c r="C3" s="858"/>
      <c r="D3" s="858"/>
      <c r="E3" s="858"/>
      <c r="F3" s="858"/>
      <c r="G3" s="858"/>
      <c r="H3" s="858"/>
      <c r="I3" s="858"/>
      <c r="J3" s="858"/>
      <c r="K3" s="858"/>
      <c r="L3" s="858"/>
      <c r="M3" s="858"/>
      <c r="N3" s="858"/>
      <c r="O3" s="858"/>
      <c r="P3" s="858"/>
      <c r="Q3" s="858"/>
      <c r="R3" s="858"/>
      <c r="S3" s="858"/>
      <c r="T3" s="858"/>
      <c r="U3" s="658"/>
      <c r="V3" s="658"/>
      <c r="W3" s="147"/>
      <c r="X3" s="147"/>
    </row>
    <row r="4" spans="1:23" s="151" customFormat="1" ht="46.5" customHeight="1">
      <c r="A4" s="859" t="s">
        <v>0</v>
      </c>
      <c r="B4" s="860" t="s">
        <v>1</v>
      </c>
      <c r="C4" s="861" t="s">
        <v>25</v>
      </c>
      <c r="D4" s="861"/>
      <c r="E4" s="861"/>
      <c r="F4" s="861"/>
      <c r="G4" s="845" t="s">
        <v>26</v>
      </c>
      <c r="H4" s="846"/>
      <c r="I4" s="846"/>
      <c r="J4" s="846"/>
      <c r="K4" s="846"/>
      <c r="L4" s="847"/>
      <c r="M4" s="848" t="s">
        <v>307</v>
      </c>
      <c r="N4" s="849"/>
      <c r="O4" s="849"/>
      <c r="P4" s="849"/>
      <c r="Q4" s="849"/>
      <c r="R4" s="850"/>
      <c r="S4" s="866" t="s">
        <v>43</v>
      </c>
      <c r="T4" s="859" t="s">
        <v>14</v>
      </c>
      <c r="U4" s="866" t="s">
        <v>329</v>
      </c>
      <c r="V4" s="867" t="s">
        <v>313</v>
      </c>
      <c r="W4" s="150"/>
    </row>
    <row r="5" spans="1:24" s="151" customFormat="1" ht="14.25" customHeight="1">
      <c r="A5" s="859"/>
      <c r="B5" s="860"/>
      <c r="C5" s="861" t="s">
        <v>20</v>
      </c>
      <c r="D5" s="868" t="s">
        <v>21</v>
      </c>
      <c r="E5" s="868"/>
      <c r="F5" s="868"/>
      <c r="G5" s="860" t="s">
        <v>38</v>
      </c>
      <c r="H5" s="869" t="s">
        <v>21</v>
      </c>
      <c r="I5" s="869"/>
      <c r="J5" s="869"/>
      <c r="K5" s="869"/>
      <c r="L5" s="854" t="s">
        <v>202</v>
      </c>
      <c r="M5" s="860" t="s">
        <v>38</v>
      </c>
      <c r="N5" s="851" t="s">
        <v>21</v>
      </c>
      <c r="O5" s="852"/>
      <c r="P5" s="852"/>
      <c r="Q5" s="853"/>
      <c r="R5" s="854" t="s">
        <v>37</v>
      </c>
      <c r="S5" s="866"/>
      <c r="T5" s="859"/>
      <c r="U5" s="866"/>
      <c r="V5" s="867"/>
      <c r="W5" s="152"/>
      <c r="X5" s="153"/>
    </row>
    <row r="6" spans="1:24" s="151" customFormat="1" ht="76.5">
      <c r="A6" s="859"/>
      <c r="B6" s="860"/>
      <c r="C6" s="861"/>
      <c r="D6" s="154" t="s">
        <v>17</v>
      </c>
      <c r="E6" s="154" t="s">
        <v>18</v>
      </c>
      <c r="F6" s="154" t="s">
        <v>19</v>
      </c>
      <c r="G6" s="860"/>
      <c r="H6" s="149" t="s">
        <v>39</v>
      </c>
      <c r="I6" s="149" t="s">
        <v>40</v>
      </c>
      <c r="J6" s="149" t="s">
        <v>41</v>
      </c>
      <c r="K6" s="149" t="s">
        <v>42</v>
      </c>
      <c r="L6" s="855"/>
      <c r="M6" s="860"/>
      <c r="N6" s="149" t="s">
        <v>39</v>
      </c>
      <c r="O6" s="149" t="s">
        <v>40</v>
      </c>
      <c r="P6" s="149" t="s">
        <v>41</v>
      </c>
      <c r="Q6" s="149" t="s">
        <v>42</v>
      </c>
      <c r="R6" s="855"/>
      <c r="S6" s="866"/>
      <c r="T6" s="859"/>
      <c r="U6" s="866"/>
      <c r="V6" s="867"/>
      <c r="W6" s="155"/>
      <c r="X6" s="153"/>
    </row>
    <row r="7" spans="1:24" s="148" customFormat="1" ht="17.25" customHeight="1">
      <c r="A7" s="639"/>
      <c r="B7" s="640"/>
      <c r="C7" s="641"/>
      <c r="D7" s="641"/>
      <c r="E7" s="641"/>
      <c r="F7" s="641"/>
      <c r="G7" s="640"/>
      <c r="H7" s="642"/>
      <c r="I7" s="642"/>
      <c r="J7" s="642"/>
      <c r="K7" s="642"/>
      <c r="L7" s="642"/>
      <c r="M7" s="642"/>
      <c r="N7" s="642"/>
      <c r="O7" s="642"/>
      <c r="P7" s="642"/>
      <c r="Q7" s="642"/>
      <c r="R7" s="642"/>
      <c r="S7" s="640"/>
      <c r="T7" s="689"/>
      <c r="U7" s="640"/>
      <c r="V7" s="643"/>
      <c r="W7" s="155"/>
      <c r="X7" s="643"/>
    </row>
    <row r="8" spans="1:23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6645.867999999999</v>
      </c>
      <c r="M8" s="547">
        <f>SUM(N8:Q8)</f>
        <v>35.361999999999995</v>
      </c>
      <c r="N8" s="465">
        <v>7.11</v>
      </c>
      <c r="O8" s="465">
        <v>17.49</v>
      </c>
      <c r="P8" s="465">
        <v>10.762</v>
      </c>
      <c r="Q8" s="465"/>
      <c r="R8" s="616">
        <v>7025.65</v>
      </c>
      <c r="S8" s="549">
        <f aca="true" t="shared" si="0" ref="S8:S20">+M8/G8</f>
        <v>1.0152741889175996</v>
      </c>
      <c r="T8" s="814" t="s">
        <v>311</v>
      </c>
      <c r="U8" s="755">
        <v>4</v>
      </c>
      <c r="V8" s="646">
        <f>+M8+U8</f>
        <v>39.361999999999995</v>
      </c>
      <c r="W8" s="71"/>
    </row>
    <row r="9" spans="1:22" s="68" customFormat="1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1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9955.8</v>
      </c>
      <c r="M9" s="826">
        <f aca="true" t="shared" si="2" ref="M9:M19">SUM(N9:Q9)</f>
        <v>34.882999999999996</v>
      </c>
      <c r="N9" s="344">
        <v>10.8</v>
      </c>
      <c r="O9" s="514">
        <v>19.99</v>
      </c>
      <c r="P9" s="344">
        <v>4.093</v>
      </c>
      <c r="Q9" s="344"/>
      <c r="R9" s="827">
        <v>5019.85</v>
      </c>
      <c r="S9" s="604">
        <f t="shared" si="0"/>
        <v>0.6041497081695215</v>
      </c>
      <c r="T9" s="828" t="s">
        <v>343</v>
      </c>
      <c r="U9" s="756">
        <f>1.8+2.44</f>
        <v>4.24</v>
      </c>
      <c r="V9" s="646">
        <f aca="true" t="shared" si="3" ref="V9:V19">+M9+U9</f>
        <v>39.123</v>
      </c>
    </row>
    <row r="10" spans="1:25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1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826">
        <f>SUM(N10:Q10)</f>
        <v>31.505000000000003</v>
      </c>
      <c r="N10" s="471">
        <f>7.09-0.24</f>
        <v>6.85</v>
      </c>
      <c r="O10" s="471">
        <f>15.58-0.26</f>
        <v>15.32</v>
      </c>
      <c r="P10" s="471">
        <v>9.335</v>
      </c>
      <c r="Q10" s="471"/>
      <c r="R10" s="618">
        <v>5252</v>
      </c>
      <c r="S10" s="604">
        <f t="shared" si="0"/>
        <v>0.7326744186046512</v>
      </c>
      <c r="T10" s="473" t="s">
        <v>337</v>
      </c>
      <c r="U10" s="756">
        <f>0.24+0.26</f>
        <v>0.5</v>
      </c>
      <c r="V10" s="646">
        <f t="shared" si="3"/>
        <v>32.005</v>
      </c>
      <c r="Y10" s="77"/>
    </row>
    <row r="11" spans="1:22" ht="23.25" customHeight="1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1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767">
        <f t="shared" si="2"/>
        <v>27.03</v>
      </c>
      <c r="N11" s="607">
        <v>12.47</v>
      </c>
      <c r="O11" s="471">
        <v>5.32</v>
      </c>
      <c r="P11" s="471">
        <v>9.24</v>
      </c>
      <c r="Q11" s="471"/>
      <c r="R11" s="618">
        <v>1260</v>
      </c>
      <c r="S11" s="604">
        <f t="shared" si="0"/>
        <v>0.4505</v>
      </c>
      <c r="T11" s="828" t="s">
        <v>310</v>
      </c>
      <c r="U11" s="756">
        <v>4.5</v>
      </c>
      <c r="V11" s="646">
        <f t="shared" si="3"/>
        <v>31.53</v>
      </c>
    </row>
    <row r="12" spans="1:22" ht="25.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1"/>
        <v>84.369</v>
      </c>
      <c r="H12" s="558">
        <v>20.07</v>
      </c>
      <c r="I12" s="558">
        <v>54.049</v>
      </c>
      <c r="J12" s="558">
        <v>7.12</v>
      </c>
      <c r="K12" s="531">
        <v>3.13</v>
      </c>
      <c r="L12" s="629">
        <v>11267.87</v>
      </c>
      <c r="M12" s="767">
        <f t="shared" si="2"/>
        <v>71.5</v>
      </c>
      <c r="N12" s="471">
        <v>15.7</v>
      </c>
      <c r="O12" s="471">
        <v>47.6</v>
      </c>
      <c r="P12" s="471">
        <v>6.9</v>
      </c>
      <c r="Q12" s="471">
        <v>1.3</v>
      </c>
      <c r="R12" s="618">
        <v>9516.4</v>
      </c>
      <c r="S12" s="604">
        <f t="shared" si="0"/>
        <v>0.8474676717751781</v>
      </c>
      <c r="T12" s="828" t="s">
        <v>339</v>
      </c>
      <c r="U12" s="756">
        <v>1.2</v>
      </c>
      <c r="V12" s="646">
        <f t="shared" si="3"/>
        <v>72.7</v>
      </c>
    </row>
    <row r="13" spans="1:22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1"/>
        <v>88.69</v>
      </c>
      <c r="H13" s="558">
        <v>15.02</v>
      </c>
      <c r="I13" s="558">
        <v>43.97</v>
      </c>
      <c r="J13" s="558">
        <v>29.7</v>
      </c>
      <c r="K13" s="531"/>
      <c r="L13" s="629">
        <v>11441.72</v>
      </c>
      <c r="M13" s="767">
        <f t="shared" si="2"/>
        <v>47.39</v>
      </c>
      <c r="N13" s="471">
        <v>5.12</v>
      </c>
      <c r="O13" s="471">
        <v>24.57</v>
      </c>
      <c r="P13" s="471">
        <v>17.7</v>
      </c>
      <c r="Q13" s="471"/>
      <c r="R13" s="618">
        <v>5860</v>
      </c>
      <c r="S13" s="604">
        <f t="shared" si="0"/>
        <v>0.5343330702446725</v>
      </c>
      <c r="T13" s="473"/>
      <c r="U13" s="756"/>
      <c r="V13" s="646">
        <f t="shared" si="3"/>
        <v>47.39</v>
      </c>
    </row>
    <row r="14" spans="1:22" s="68" customFormat="1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1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767">
        <f t="shared" si="2"/>
        <v>79.7</v>
      </c>
      <c r="N14" s="471">
        <v>13.32</v>
      </c>
      <c r="O14" s="471">
        <v>38.96</v>
      </c>
      <c r="P14" s="471">
        <v>27.42</v>
      </c>
      <c r="Q14" s="471"/>
      <c r="R14" s="618">
        <v>8958.8</v>
      </c>
      <c r="S14" s="604">
        <f t="shared" si="0"/>
        <v>0.5978097809780979</v>
      </c>
      <c r="T14" s="473" t="s">
        <v>338</v>
      </c>
      <c r="U14" s="756">
        <f>2.25+14.46</f>
        <v>16.71</v>
      </c>
      <c r="V14" s="646">
        <f t="shared" si="3"/>
        <v>96.41</v>
      </c>
    </row>
    <row r="15" spans="1:22" ht="25.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1"/>
        <v>94</v>
      </c>
      <c r="H15" s="558">
        <v>28.09</v>
      </c>
      <c r="I15" s="558">
        <v>48.3</v>
      </c>
      <c r="J15" s="558">
        <v>17.61</v>
      </c>
      <c r="K15" s="531"/>
      <c r="L15" s="629">
        <v>12917.85</v>
      </c>
      <c r="M15" s="767">
        <f t="shared" si="2"/>
        <v>62.919999999999995</v>
      </c>
      <c r="N15" s="471">
        <v>13.29</v>
      </c>
      <c r="O15" s="471">
        <v>41.3</v>
      </c>
      <c r="P15" s="471">
        <v>8.33</v>
      </c>
      <c r="Q15" s="471"/>
      <c r="R15" s="618">
        <v>9012.2</v>
      </c>
      <c r="S15" s="604">
        <f t="shared" si="0"/>
        <v>0.6693617021276596</v>
      </c>
      <c r="T15" s="473" t="s">
        <v>340</v>
      </c>
      <c r="U15" s="756">
        <f>26.6+7.1</f>
        <v>33.7</v>
      </c>
      <c r="V15" s="646">
        <f t="shared" si="3"/>
        <v>96.62</v>
      </c>
    </row>
    <row r="16" spans="1:22" s="68" customFormat="1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1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767">
        <f>SUM(N16:P16)</f>
        <v>22.33</v>
      </c>
      <c r="N16" s="471">
        <v>6.4</v>
      </c>
      <c r="O16" s="471">
        <v>11.6</v>
      </c>
      <c r="P16" s="471">
        <v>4.33</v>
      </c>
      <c r="Q16" s="471"/>
      <c r="R16" s="618">
        <v>3705.85</v>
      </c>
      <c r="S16" s="604">
        <f t="shared" si="0"/>
        <v>0.5790975103734439</v>
      </c>
      <c r="T16" s="473" t="s">
        <v>344</v>
      </c>
      <c r="U16" s="756">
        <f>1+1.3</f>
        <v>2.3</v>
      </c>
      <c r="V16" s="646">
        <f t="shared" si="3"/>
        <v>24.63</v>
      </c>
    </row>
    <row r="17" spans="1:22" s="68" customFormat="1" ht="19.5" customHeight="1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1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14117.22</v>
      </c>
      <c r="M17" s="767">
        <f t="shared" si="2"/>
        <v>57.769999999999996</v>
      </c>
      <c r="N17" s="471">
        <v>24.11</v>
      </c>
      <c r="O17" s="471">
        <v>32.66</v>
      </c>
      <c r="P17" s="471">
        <v>1</v>
      </c>
      <c r="Q17" s="471"/>
      <c r="R17" s="618">
        <v>7328.5</v>
      </c>
      <c r="S17" s="604">
        <f t="shared" si="0"/>
        <v>0.6275255268303281</v>
      </c>
      <c r="T17" s="473" t="s">
        <v>319</v>
      </c>
      <c r="U17" s="756">
        <v>12</v>
      </c>
      <c r="V17" s="646">
        <f t="shared" si="3"/>
        <v>69.77</v>
      </c>
    </row>
    <row r="18" spans="1:22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1"/>
        <v>2.6</v>
      </c>
      <c r="H18" s="607">
        <v>1</v>
      </c>
      <c r="I18" s="607"/>
      <c r="J18" s="607">
        <v>1.6</v>
      </c>
      <c r="K18" s="531"/>
      <c r="L18" s="629">
        <v>438</v>
      </c>
      <c r="M18" s="826">
        <f t="shared" si="2"/>
        <v>1.448</v>
      </c>
      <c r="N18" s="607">
        <f>0.43+0.22+0.03</f>
        <v>0.68</v>
      </c>
      <c r="O18" s="623">
        <f>+TXHL!U8</f>
        <v>0</v>
      </c>
      <c r="P18" s="607">
        <f>+TXHL!V8</f>
        <v>0.768</v>
      </c>
      <c r="Q18" s="623"/>
      <c r="R18" s="618">
        <f>+TXHL!X8+31</f>
        <v>66</v>
      </c>
      <c r="S18" s="604">
        <f t="shared" si="0"/>
        <v>0.5569230769230769</v>
      </c>
      <c r="T18" s="473" t="s">
        <v>341</v>
      </c>
      <c r="U18" s="756">
        <v>3.02</v>
      </c>
      <c r="V18" s="646">
        <f t="shared" si="3"/>
        <v>4.468</v>
      </c>
    </row>
    <row r="19" spans="1:22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1"/>
        <v>18</v>
      </c>
      <c r="H19" s="650">
        <v>4</v>
      </c>
      <c r="I19" s="650">
        <v>4.4</v>
      </c>
      <c r="J19" s="650">
        <v>9.6</v>
      </c>
      <c r="K19" s="651"/>
      <c r="L19" s="630">
        <v>2384</v>
      </c>
      <c r="M19" s="584">
        <f t="shared" si="2"/>
        <v>9.8</v>
      </c>
      <c r="N19" s="585">
        <v>2.9</v>
      </c>
      <c r="O19" s="585">
        <v>0.4</v>
      </c>
      <c r="P19" s="585">
        <v>6.5</v>
      </c>
      <c r="Q19" s="624"/>
      <c r="R19" s="621">
        <v>965</v>
      </c>
      <c r="S19" s="610">
        <f t="shared" si="0"/>
        <v>0.5444444444444445</v>
      </c>
      <c r="T19" s="587"/>
      <c r="U19" s="758"/>
      <c r="V19" s="646">
        <f t="shared" si="3"/>
        <v>9.8</v>
      </c>
    </row>
    <row r="20" spans="1:22" ht="21.75" customHeight="1">
      <c r="A20" s="862" t="s">
        <v>23</v>
      </c>
      <c r="B20" s="863"/>
      <c r="C20" s="815">
        <f aca="true" t="shared" si="4" ref="C20:L20">+SUM(C8:C19)</f>
        <v>976.8000000000001</v>
      </c>
      <c r="D20" s="816">
        <f t="shared" si="4"/>
        <v>369.9</v>
      </c>
      <c r="E20" s="816">
        <f t="shared" si="4"/>
        <v>358.7</v>
      </c>
      <c r="F20" s="816">
        <f t="shared" si="4"/>
        <v>248.19999999999996</v>
      </c>
      <c r="G20" s="817">
        <f t="shared" si="4"/>
        <v>747.168</v>
      </c>
      <c r="H20" s="818">
        <f t="shared" si="4"/>
        <v>231.515</v>
      </c>
      <c r="I20" s="818">
        <f t="shared" si="4"/>
        <v>317.46799999999996</v>
      </c>
      <c r="J20" s="818">
        <f t="shared" si="4"/>
        <v>195.055</v>
      </c>
      <c r="K20" s="818">
        <f>+SUM(K8:K19)</f>
        <v>3.13</v>
      </c>
      <c r="L20" s="819">
        <f t="shared" si="4"/>
        <v>108098.62800000001</v>
      </c>
      <c r="M20" s="820">
        <f aca="true" t="shared" si="5" ref="M20:R20">+SUM(M8:M19)</f>
        <v>481.638</v>
      </c>
      <c r="N20" s="821">
        <f t="shared" si="5"/>
        <v>118.75000000000001</v>
      </c>
      <c r="O20" s="820">
        <f t="shared" si="5"/>
        <v>255.21</v>
      </c>
      <c r="P20" s="820">
        <f t="shared" si="5"/>
        <v>106.378</v>
      </c>
      <c r="Q20" s="820">
        <f t="shared" si="5"/>
        <v>1.3</v>
      </c>
      <c r="R20" s="822">
        <f t="shared" si="5"/>
        <v>63970.24999999999</v>
      </c>
      <c r="S20" s="823">
        <f t="shared" si="0"/>
        <v>0.6446180778620069</v>
      </c>
      <c r="T20" s="824" t="str">
        <f>+U4&amp;U20&amp;" km"</f>
        <v>Tổng đường dự án và đường khác: 82,17 km</v>
      </c>
      <c r="U20" s="825">
        <f>+SUM(U8:U19)</f>
        <v>82.16999999999999</v>
      </c>
      <c r="V20" s="656">
        <f>SUM(V8:V19)</f>
        <v>563.8079999999999</v>
      </c>
    </row>
    <row r="21" spans="2:22" ht="30" customHeight="1">
      <c r="B21" s="864" t="s">
        <v>48</v>
      </c>
      <c r="C21" s="865"/>
      <c r="D21" s="865"/>
      <c r="E21" s="865"/>
      <c r="F21" s="865"/>
      <c r="G21" s="865"/>
      <c r="H21" s="865"/>
      <c r="I21" s="865"/>
      <c r="J21" s="865"/>
      <c r="K21" s="865"/>
      <c r="L21" s="865"/>
      <c r="M21" s="865"/>
      <c r="N21" s="865"/>
      <c r="O21" s="865"/>
      <c r="P21" s="865"/>
      <c r="Q21" s="865"/>
      <c r="R21" s="865"/>
      <c r="S21" s="865"/>
      <c r="T21" s="865"/>
      <c r="U21" s="726"/>
      <c r="V21" s="770"/>
    </row>
    <row r="22" spans="2:22" ht="15">
      <c r="B22" s="162"/>
      <c r="O22" s="36"/>
      <c r="R22" s="165"/>
      <c r="S22" s="166"/>
      <c r="T22" s="26">
        <f>2.77+0.25</f>
        <v>3.02</v>
      </c>
      <c r="V22" s="793"/>
    </row>
    <row r="23" spans="2:19" ht="15">
      <c r="B23" s="659"/>
      <c r="G23" s="167"/>
      <c r="M23" s="768">
        <f>+M20-395.625</f>
        <v>86.01299999999998</v>
      </c>
      <c r="R23" s="769">
        <f>+R20-55721</f>
        <v>8249.249999999993</v>
      </c>
      <c r="S23" s="26">
        <f>2.1+1.45</f>
        <v>3.55</v>
      </c>
    </row>
    <row r="24" ht="15">
      <c r="S24" s="26">
        <f>1.3+0.12+0.4+0.09+0.86</f>
        <v>2.77</v>
      </c>
    </row>
    <row r="25" ht="15">
      <c r="M25" s="163">
        <v>443.83</v>
      </c>
    </row>
    <row r="26" ht="15">
      <c r="M26" s="163">
        <f>+M20-M25</f>
        <v>37.80799999999999</v>
      </c>
    </row>
    <row r="47" spans="15:19" ht="15">
      <c r="O47" s="465">
        <v>3.457</v>
      </c>
      <c r="P47" s="465">
        <v>14.248</v>
      </c>
      <c r="Q47" s="465">
        <v>7.3</v>
      </c>
      <c r="R47" s="465"/>
      <c r="S47" s="616">
        <v>4856</v>
      </c>
    </row>
  </sheetData>
  <sheetProtection/>
  <mergeCells count="22">
    <mergeCell ref="G4:L4"/>
    <mergeCell ref="M4:R4"/>
    <mergeCell ref="N5:Q5"/>
    <mergeCell ref="R5:R6"/>
    <mergeCell ref="A1:T1"/>
    <mergeCell ref="A2:T2"/>
    <mergeCell ref="A3:T3"/>
    <mergeCell ref="A4:A6"/>
    <mergeCell ref="B4:B6"/>
    <mergeCell ref="C4:F4"/>
    <mergeCell ref="L5:L6"/>
    <mergeCell ref="M5:M6"/>
    <mergeCell ref="A20:B20"/>
    <mergeCell ref="B21:T21"/>
    <mergeCell ref="U4:U6"/>
    <mergeCell ref="V4:V6"/>
    <mergeCell ref="C5:C6"/>
    <mergeCell ref="D5:F5"/>
    <mergeCell ref="G5:G6"/>
    <mergeCell ref="H5:K5"/>
    <mergeCell ref="S4:S6"/>
    <mergeCell ref="T4:T6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47"/>
  <sheetViews>
    <sheetView workbookViewId="0" topLeftCell="A1">
      <selection activeCell="M13" sqref="M13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7.125" style="26" customWidth="1"/>
    <col min="20" max="20" width="45.25390625" style="26" customWidth="1"/>
    <col min="21" max="21" width="5.50390625" style="26" customWidth="1"/>
    <col min="22" max="22" width="13.875" style="649" customWidth="1"/>
    <col min="23" max="23" width="10.625" style="26" customWidth="1"/>
    <col min="24" max="24" width="20.875" style="26" customWidth="1"/>
    <col min="25" max="27" width="9.00390625" style="26" customWidth="1"/>
    <col min="28" max="16384" width="9.00390625" style="26" customWidth="1"/>
  </cols>
  <sheetData>
    <row r="1" spans="1:24" ht="30" customHeight="1">
      <c r="A1" s="856" t="s">
        <v>36</v>
      </c>
      <c r="B1" s="856"/>
      <c r="C1" s="856"/>
      <c r="D1" s="856"/>
      <c r="E1" s="856"/>
      <c r="F1" s="856"/>
      <c r="G1" s="856"/>
      <c r="H1" s="856"/>
      <c r="I1" s="856"/>
      <c r="J1" s="856"/>
      <c r="K1" s="856"/>
      <c r="L1" s="856"/>
      <c r="M1" s="856"/>
      <c r="N1" s="856"/>
      <c r="O1" s="856"/>
      <c r="P1" s="856"/>
      <c r="Q1" s="856"/>
      <c r="R1" s="856"/>
      <c r="S1" s="856"/>
      <c r="T1" s="856"/>
      <c r="U1" s="636"/>
      <c r="V1" s="636"/>
      <c r="W1" s="146"/>
      <c r="X1" s="146"/>
    </row>
    <row r="2" spans="1:24" s="148" customFormat="1" ht="22.5" customHeight="1">
      <c r="A2" s="857" t="s">
        <v>331</v>
      </c>
      <c r="B2" s="857"/>
      <c r="C2" s="857"/>
      <c r="D2" s="857"/>
      <c r="E2" s="857"/>
      <c r="F2" s="857"/>
      <c r="G2" s="857"/>
      <c r="H2" s="857"/>
      <c r="I2" s="857"/>
      <c r="J2" s="857"/>
      <c r="K2" s="857"/>
      <c r="L2" s="857"/>
      <c r="M2" s="857"/>
      <c r="N2" s="857"/>
      <c r="O2" s="857"/>
      <c r="P2" s="857"/>
      <c r="Q2" s="857"/>
      <c r="R2" s="857"/>
      <c r="S2" s="857"/>
      <c r="T2" s="857"/>
      <c r="U2" s="637"/>
      <c r="V2" s="637"/>
      <c r="W2" s="147"/>
      <c r="X2" s="147"/>
    </row>
    <row r="3" spans="1:24" s="148" customFormat="1" ht="22.5" customHeight="1">
      <c r="A3" s="858"/>
      <c r="B3" s="858"/>
      <c r="C3" s="858"/>
      <c r="D3" s="858"/>
      <c r="E3" s="858"/>
      <c r="F3" s="858"/>
      <c r="G3" s="858"/>
      <c r="H3" s="858"/>
      <c r="I3" s="858"/>
      <c r="J3" s="858"/>
      <c r="K3" s="858"/>
      <c r="L3" s="858"/>
      <c r="M3" s="858"/>
      <c r="N3" s="858"/>
      <c r="O3" s="858"/>
      <c r="P3" s="858"/>
      <c r="Q3" s="858"/>
      <c r="R3" s="858"/>
      <c r="S3" s="858"/>
      <c r="T3" s="858"/>
      <c r="U3" s="658"/>
      <c r="V3" s="658"/>
      <c r="W3" s="147"/>
      <c r="X3" s="147"/>
    </row>
    <row r="4" spans="1:23" s="151" customFormat="1" ht="46.5" customHeight="1">
      <c r="A4" s="859" t="s">
        <v>0</v>
      </c>
      <c r="B4" s="860" t="s">
        <v>1</v>
      </c>
      <c r="C4" s="861" t="s">
        <v>25</v>
      </c>
      <c r="D4" s="861"/>
      <c r="E4" s="861"/>
      <c r="F4" s="861"/>
      <c r="G4" s="845" t="s">
        <v>26</v>
      </c>
      <c r="H4" s="846"/>
      <c r="I4" s="846"/>
      <c r="J4" s="846"/>
      <c r="K4" s="846"/>
      <c r="L4" s="847"/>
      <c r="M4" s="848" t="s">
        <v>307</v>
      </c>
      <c r="N4" s="849"/>
      <c r="O4" s="849"/>
      <c r="P4" s="849"/>
      <c r="Q4" s="849"/>
      <c r="R4" s="850"/>
      <c r="S4" s="866" t="s">
        <v>43</v>
      </c>
      <c r="T4" s="859" t="s">
        <v>14</v>
      </c>
      <c r="U4" s="866" t="s">
        <v>329</v>
      </c>
      <c r="V4" s="867" t="s">
        <v>313</v>
      </c>
      <c r="W4" s="150"/>
    </row>
    <row r="5" spans="1:24" s="151" customFormat="1" ht="14.25" customHeight="1">
      <c r="A5" s="859"/>
      <c r="B5" s="860"/>
      <c r="C5" s="861" t="s">
        <v>20</v>
      </c>
      <c r="D5" s="868" t="s">
        <v>21</v>
      </c>
      <c r="E5" s="868"/>
      <c r="F5" s="868"/>
      <c r="G5" s="860" t="s">
        <v>38</v>
      </c>
      <c r="H5" s="869" t="s">
        <v>21</v>
      </c>
      <c r="I5" s="869"/>
      <c r="J5" s="869"/>
      <c r="K5" s="869"/>
      <c r="L5" s="854" t="s">
        <v>202</v>
      </c>
      <c r="M5" s="860" t="s">
        <v>38</v>
      </c>
      <c r="N5" s="851" t="s">
        <v>21</v>
      </c>
      <c r="O5" s="852"/>
      <c r="P5" s="852"/>
      <c r="Q5" s="853"/>
      <c r="R5" s="854" t="s">
        <v>37</v>
      </c>
      <c r="S5" s="866"/>
      <c r="T5" s="859"/>
      <c r="U5" s="866"/>
      <c r="V5" s="867"/>
      <c r="W5" s="152"/>
      <c r="X5" s="153"/>
    </row>
    <row r="6" spans="1:24" s="151" customFormat="1" ht="76.5">
      <c r="A6" s="859"/>
      <c r="B6" s="860"/>
      <c r="C6" s="861"/>
      <c r="D6" s="154" t="s">
        <v>17</v>
      </c>
      <c r="E6" s="154" t="s">
        <v>18</v>
      </c>
      <c r="F6" s="154" t="s">
        <v>19</v>
      </c>
      <c r="G6" s="860"/>
      <c r="H6" s="149" t="s">
        <v>39</v>
      </c>
      <c r="I6" s="149" t="s">
        <v>40</v>
      </c>
      <c r="J6" s="149" t="s">
        <v>41</v>
      </c>
      <c r="K6" s="149" t="s">
        <v>42</v>
      </c>
      <c r="L6" s="855"/>
      <c r="M6" s="860"/>
      <c r="N6" s="149" t="s">
        <v>39</v>
      </c>
      <c r="O6" s="149" t="s">
        <v>40</v>
      </c>
      <c r="P6" s="149" t="s">
        <v>41</v>
      </c>
      <c r="Q6" s="149" t="s">
        <v>42</v>
      </c>
      <c r="R6" s="855"/>
      <c r="S6" s="866"/>
      <c r="T6" s="859"/>
      <c r="U6" s="866"/>
      <c r="V6" s="867"/>
      <c r="W6" s="155"/>
      <c r="X6" s="153"/>
    </row>
    <row r="7" spans="1:24" s="148" customFormat="1" ht="17.25" customHeight="1">
      <c r="A7" s="639">
        <v>1</v>
      </c>
      <c r="B7" s="640">
        <v>2</v>
      </c>
      <c r="C7" s="641"/>
      <c r="D7" s="641"/>
      <c r="E7" s="641"/>
      <c r="F7" s="641"/>
      <c r="G7" s="640">
        <v>3</v>
      </c>
      <c r="H7" s="642">
        <v>4</v>
      </c>
      <c r="I7" s="642">
        <v>5</v>
      </c>
      <c r="J7" s="642">
        <v>6</v>
      </c>
      <c r="K7" s="642">
        <v>7</v>
      </c>
      <c r="L7" s="642">
        <v>8</v>
      </c>
      <c r="M7" s="642">
        <v>15</v>
      </c>
      <c r="N7" s="642">
        <v>16</v>
      </c>
      <c r="O7" s="642">
        <v>17</v>
      </c>
      <c r="P7" s="642">
        <v>18</v>
      </c>
      <c r="Q7" s="642">
        <v>19</v>
      </c>
      <c r="R7" s="642">
        <v>20</v>
      </c>
      <c r="S7" s="640" t="s">
        <v>47</v>
      </c>
      <c r="T7" s="689">
        <v>22</v>
      </c>
      <c r="U7" s="640"/>
      <c r="V7" s="643"/>
      <c r="W7" s="155"/>
      <c r="X7" s="643"/>
    </row>
    <row r="8" spans="1:23" s="68" customFormat="1" ht="24" customHeight="1">
      <c r="A8" s="802">
        <v>1</v>
      </c>
      <c r="B8" s="803" t="s">
        <v>3</v>
      </c>
      <c r="C8" s="804">
        <v>62.7</v>
      </c>
      <c r="D8" s="805">
        <v>22.8</v>
      </c>
      <c r="E8" s="805">
        <v>14</v>
      </c>
      <c r="F8" s="805">
        <v>25.9</v>
      </c>
      <c r="G8" s="806">
        <f>SUM(H8:K8)</f>
        <v>34.83</v>
      </c>
      <c r="H8" s="806">
        <v>13.25</v>
      </c>
      <c r="I8" s="806">
        <v>9.75</v>
      </c>
      <c r="J8" s="806">
        <v>11.83</v>
      </c>
      <c r="K8" s="807"/>
      <c r="L8" s="808">
        <v>6645.867999999999</v>
      </c>
      <c r="M8" s="809">
        <f>SUM(N8:Q8)</f>
        <v>33.912</v>
      </c>
      <c r="N8" s="803">
        <v>5.66</v>
      </c>
      <c r="O8" s="803">
        <v>18.49</v>
      </c>
      <c r="P8" s="803">
        <v>9.762</v>
      </c>
      <c r="Q8" s="803"/>
      <c r="R8" s="810">
        <v>6935.64</v>
      </c>
      <c r="S8" s="811">
        <f aca="true" t="shared" si="0" ref="S8:S20">+M8/G8</f>
        <v>0.9736434108527132</v>
      </c>
      <c r="T8" s="812" t="s">
        <v>311</v>
      </c>
      <c r="U8" s="755">
        <v>4</v>
      </c>
      <c r="V8" s="646">
        <f>+M8+U8</f>
        <v>37.912</v>
      </c>
      <c r="W8" s="71"/>
    </row>
    <row r="9" spans="1:22" s="68" customFormat="1" ht="25.5">
      <c r="A9" s="691">
        <v>2</v>
      </c>
      <c r="B9" s="692" t="s">
        <v>4</v>
      </c>
      <c r="C9" s="693">
        <v>111.7</v>
      </c>
      <c r="D9" s="694">
        <v>31.7</v>
      </c>
      <c r="E9" s="694">
        <v>66.3</v>
      </c>
      <c r="F9" s="694">
        <v>13.6</v>
      </c>
      <c r="G9" s="695">
        <f aca="true" t="shared" si="1" ref="G9:G19">SUM(H9:K9)</f>
        <v>57.73899999999999</v>
      </c>
      <c r="H9" s="695">
        <v>19.985</v>
      </c>
      <c r="I9" s="695">
        <v>30.608999999999998</v>
      </c>
      <c r="J9" s="695">
        <v>7.145</v>
      </c>
      <c r="K9" s="696"/>
      <c r="L9" s="697">
        <v>9955.8</v>
      </c>
      <c r="M9" s="794">
        <f aca="true" t="shared" si="2" ref="M9:M19">SUM(N9:Q9)</f>
        <v>22.201999999999998</v>
      </c>
      <c r="N9" s="774">
        <f>9.83-1.3</f>
        <v>8.53</v>
      </c>
      <c r="O9" s="795">
        <f>10.67-0.3</f>
        <v>10.37</v>
      </c>
      <c r="P9" s="774">
        <f>3.502-0.2</f>
        <v>3.3019999999999996</v>
      </c>
      <c r="Q9" s="774"/>
      <c r="R9" s="796">
        <v>4179.85</v>
      </c>
      <c r="S9" s="700">
        <f t="shared" si="0"/>
        <v>0.38452345901383816</v>
      </c>
      <c r="T9" s="777" t="s">
        <v>336</v>
      </c>
      <c r="U9" s="756">
        <f>1.8+2.44</f>
        <v>4.24</v>
      </c>
      <c r="V9" s="646">
        <f aca="true" t="shared" si="3" ref="V9:V19">+M9+U9</f>
        <v>26.442</v>
      </c>
    </row>
    <row r="10" spans="1:25" s="68" customFormat="1" ht="18" customHeight="1">
      <c r="A10" s="691">
        <v>3</v>
      </c>
      <c r="B10" s="692" t="s">
        <v>5</v>
      </c>
      <c r="C10" s="693">
        <v>45</v>
      </c>
      <c r="D10" s="694">
        <v>14.5</v>
      </c>
      <c r="E10" s="694">
        <v>19.4</v>
      </c>
      <c r="F10" s="694">
        <v>11.1</v>
      </c>
      <c r="G10" s="695">
        <f t="shared" si="1"/>
        <v>43</v>
      </c>
      <c r="H10" s="695">
        <v>12.7</v>
      </c>
      <c r="I10" s="695">
        <v>19.2</v>
      </c>
      <c r="J10" s="695">
        <v>11.1</v>
      </c>
      <c r="K10" s="696"/>
      <c r="L10" s="697">
        <v>5912.900000000001</v>
      </c>
      <c r="M10" s="813">
        <f>SUM(N10:Q10)</f>
        <v>30.405</v>
      </c>
      <c r="N10" s="692">
        <f>7.09-0.24</f>
        <v>6.85</v>
      </c>
      <c r="O10" s="692">
        <f>15.58-0.26</f>
        <v>15.32</v>
      </c>
      <c r="P10" s="692">
        <v>8.235</v>
      </c>
      <c r="Q10" s="692"/>
      <c r="R10" s="699">
        <v>4789</v>
      </c>
      <c r="S10" s="700">
        <f t="shared" si="0"/>
        <v>0.707093023255814</v>
      </c>
      <c r="T10" s="778" t="s">
        <v>337</v>
      </c>
      <c r="U10" s="756">
        <f>0.24+0.26</f>
        <v>0.5</v>
      </c>
      <c r="V10" s="646">
        <f t="shared" si="3"/>
        <v>30.905</v>
      </c>
      <c r="Y10" s="77"/>
    </row>
    <row r="11" spans="1:22" ht="23.25" customHeight="1">
      <c r="A11" s="771">
        <v>4</v>
      </c>
      <c r="B11" s="772" t="s">
        <v>6</v>
      </c>
      <c r="C11" s="773">
        <f>+D11+E11+F11</f>
        <v>60</v>
      </c>
      <c r="D11" s="774">
        <v>17</v>
      </c>
      <c r="E11" s="774">
        <v>18</v>
      </c>
      <c r="F11" s="774">
        <v>25</v>
      </c>
      <c r="G11" s="695">
        <f t="shared" si="1"/>
        <v>60</v>
      </c>
      <c r="H11" s="695">
        <v>17</v>
      </c>
      <c r="I11" s="695">
        <v>18</v>
      </c>
      <c r="J11" s="695">
        <v>25</v>
      </c>
      <c r="K11" s="696"/>
      <c r="L11" s="697">
        <v>8142</v>
      </c>
      <c r="M11" s="775">
        <f t="shared" si="2"/>
        <v>26.93</v>
      </c>
      <c r="N11" s="792">
        <v>12.47</v>
      </c>
      <c r="O11" s="772">
        <v>5.32</v>
      </c>
      <c r="P11" s="772">
        <v>9.14</v>
      </c>
      <c r="Q11" s="772"/>
      <c r="R11" s="776">
        <v>1213</v>
      </c>
      <c r="S11" s="704">
        <f t="shared" si="0"/>
        <v>0.4488333333333333</v>
      </c>
      <c r="T11" s="645" t="s">
        <v>310</v>
      </c>
      <c r="U11" s="757">
        <v>4.5</v>
      </c>
      <c r="V11" s="646">
        <f t="shared" si="3"/>
        <v>31.43</v>
      </c>
    </row>
    <row r="12" spans="1:22" ht="25.5">
      <c r="A12" s="771">
        <v>5</v>
      </c>
      <c r="B12" s="772" t="s">
        <v>7</v>
      </c>
      <c r="C12" s="773">
        <v>83.4</v>
      </c>
      <c r="D12" s="774">
        <v>28.9</v>
      </c>
      <c r="E12" s="774">
        <v>45.8</v>
      </c>
      <c r="F12" s="774">
        <v>8.7</v>
      </c>
      <c r="G12" s="695">
        <f t="shared" si="1"/>
        <v>84.369</v>
      </c>
      <c r="H12" s="695">
        <v>20.07</v>
      </c>
      <c r="I12" s="695">
        <v>54.049</v>
      </c>
      <c r="J12" s="695">
        <v>7.12</v>
      </c>
      <c r="K12" s="696">
        <v>3.13</v>
      </c>
      <c r="L12" s="697">
        <v>11267.87</v>
      </c>
      <c r="M12" s="775">
        <f t="shared" si="2"/>
        <v>67.24</v>
      </c>
      <c r="N12" s="772">
        <f>15.34-0.96</f>
        <v>14.379999999999999</v>
      </c>
      <c r="O12" s="772">
        <v>44.93</v>
      </c>
      <c r="P12" s="772">
        <v>6.63</v>
      </c>
      <c r="Q12" s="772">
        <v>1.3</v>
      </c>
      <c r="R12" s="776">
        <v>9389.4</v>
      </c>
      <c r="S12" s="704">
        <f t="shared" si="0"/>
        <v>0.7969751923099716</v>
      </c>
      <c r="T12" s="645" t="s">
        <v>335</v>
      </c>
      <c r="U12" s="757">
        <v>0.96</v>
      </c>
      <c r="V12" s="646">
        <f t="shared" si="3"/>
        <v>68.19999999999999</v>
      </c>
    </row>
    <row r="13" spans="1:22" ht="21.75" customHeight="1">
      <c r="A13" s="771">
        <v>6</v>
      </c>
      <c r="B13" s="772" t="s">
        <v>8</v>
      </c>
      <c r="C13" s="773">
        <v>110.5</v>
      </c>
      <c r="D13" s="774">
        <v>52.1</v>
      </c>
      <c r="E13" s="774">
        <v>26.1</v>
      </c>
      <c r="F13" s="774">
        <v>32.3</v>
      </c>
      <c r="G13" s="695">
        <f t="shared" si="1"/>
        <v>88.69</v>
      </c>
      <c r="H13" s="695">
        <v>15.02</v>
      </c>
      <c r="I13" s="695">
        <v>43.97</v>
      </c>
      <c r="J13" s="695">
        <v>29.7</v>
      </c>
      <c r="K13" s="696"/>
      <c r="L13" s="697">
        <v>11441.72</v>
      </c>
      <c r="M13" s="775">
        <f t="shared" si="2"/>
        <v>42.629999999999995</v>
      </c>
      <c r="N13" s="772">
        <v>3.75</v>
      </c>
      <c r="O13" s="772">
        <v>22.23</v>
      </c>
      <c r="P13" s="772">
        <v>16.65</v>
      </c>
      <c r="Q13" s="772"/>
      <c r="R13" s="776">
        <v>5339</v>
      </c>
      <c r="S13" s="704">
        <f t="shared" si="0"/>
        <v>0.4806629834254143</v>
      </c>
      <c r="T13" s="701"/>
      <c r="U13" s="757"/>
      <c r="V13" s="646">
        <f t="shared" si="3"/>
        <v>42.629999999999995</v>
      </c>
    </row>
    <row r="14" spans="1:22" s="68" customFormat="1" ht="25.5">
      <c r="A14" s="691">
        <v>7</v>
      </c>
      <c r="B14" s="692" t="s">
        <v>2</v>
      </c>
      <c r="C14" s="693">
        <v>180.6</v>
      </c>
      <c r="D14" s="694">
        <v>55.4</v>
      </c>
      <c r="E14" s="694">
        <v>60.6</v>
      </c>
      <c r="F14" s="694">
        <v>64.6</v>
      </c>
      <c r="G14" s="695">
        <f t="shared" si="1"/>
        <v>133.32</v>
      </c>
      <c r="H14" s="695">
        <v>36.01</v>
      </c>
      <c r="I14" s="695">
        <v>41.84</v>
      </c>
      <c r="J14" s="695">
        <v>55.47</v>
      </c>
      <c r="K14" s="696"/>
      <c r="L14" s="697">
        <v>18072.41</v>
      </c>
      <c r="M14" s="698">
        <f t="shared" si="2"/>
        <v>77.14999999999999</v>
      </c>
      <c r="N14" s="692">
        <v>13.12</v>
      </c>
      <c r="O14" s="692">
        <v>37.51</v>
      </c>
      <c r="P14" s="692">
        <v>26.52</v>
      </c>
      <c r="Q14" s="692"/>
      <c r="R14" s="699">
        <v>8708.3</v>
      </c>
      <c r="S14" s="700">
        <f t="shared" si="0"/>
        <v>0.5786828682868287</v>
      </c>
      <c r="T14" s="778" t="s">
        <v>338</v>
      </c>
      <c r="U14" s="756">
        <f>2.25+14.46</f>
        <v>16.71</v>
      </c>
      <c r="V14" s="646">
        <f t="shared" si="3"/>
        <v>93.85999999999999</v>
      </c>
    </row>
    <row r="15" spans="1:22" ht="21.75" customHeight="1">
      <c r="A15" s="691">
        <v>8</v>
      </c>
      <c r="B15" s="692" t="s">
        <v>9</v>
      </c>
      <c r="C15" s="693">
        <v>134.8</v>
      </c>
      <c r="D15" s="694">
        <v>50.8</v>
      </c>
      <c r="E15" s="694">
        <v>57.8</v>
      </c>
      <c r="F15" s="694">
        <v>26.2</v>
      </c>
      <c r="G15" s="695">
        <f t="shared" si="1"/>
        <v>94</v>
      </c>
      <c r="H15" s="695">
        <v>28.09</v>
      </c>
      <c r="I15" s="695">
        <v>48.3</v>
      </c>
      <c r="J15" s="695">
        <v>17.61</v>
      </c>
      <c r="K15" s="696"/>
      <c r="L15" s="697">
        <v>12917.85</v>
      </c>
      <c r="M15" s="698">
        <f t="shared" si="2"/>
        <v>63.68000000000001</v>
      </c>
      <c r="N15" s="692">
        <v>11.8</v>
      </c>
      <c r="O15" s="692">
        <v>43.13</v>
      </c>
      <c r="P15" s="692">
        <v>8.75</v>
      </c>
      <c r="Q15" s="692"/>
      <c r="R15" s="699">
        <v>8396</v>
      </c>
      <c r="S15" s="700">
        <f t="shared" si="0"/>
        <v>0.6774468085106383</v>
      </c>
      <c r="T15" s="701" t="s">
        <v>312</v>
      </c>
      <c r="U15" s="756">
        <v>26.6</v>
      </c>
      <c r="V15" s="646">
        <f t="shared" si="3"/>
        <v>90.28</v>
      </c>
    </row>
    <row r="16" spans="1:22" s="68" customFormat="1" ht="21.75" customHeight="1">
      <c r="A16" s="691">
        <v>9</v>
      </c>
      <c r="B16" s="692" t="s">
        <v>10</v>
      </c>
      <c r="C16" s="693">
        <v>63.7</v>
      </c>
      <c r="D16" s="694">
        <v>35.5</v>
      </c>
      <c r="E16" s="797">
        <v>8</v>
      </c>
      <c r="F16" s="694">
        <v>20.2</v>
      </c>
      <c r="G16" s="695">
        <f t="shared" si="1"/>
        <v>38.56</v>
      </c>
      <c r="H16" s="695">
        <v>12.91</v>
      </c>
      <c r="I16" s="695">
        <v>9.51</v>
      </c>
      <c r="J16" s="695">
        <v>16.14</v>
      </c>
      <c r="K16" s="696"/>
      <c r="L16" s="697">
        <v>6802.99</v>
      </c>
      <c r="M16" s="801">
        <f>SUM(N16:P16)</f>
        <v>14.674999999999999</v>
      </c>
      <c r="N16" s="692">
        <v>4.378</v>
      </c>
      <c r="O16" s="692">
        <v>9.597</v>
      </c>
      <c r="P16" s="692">
        <v>0.7</v>
      </c>
      <c r="Q16" s="692"/>
      <c r="R16" s="699">
        <v>3010.9</v>
      </c>
      <c r="S16" s="700">
        <f t="shared" si="0"/>
        <v>0.38057572614107876</v>
      </c>
      <c r="T16" s="778" t="s">
        <v>320</v>
      </c>
      <c r="U16" s="756">
        <v>1.3</v>
      </c>
      <c r="V16" s="646">
        <f t="shared" si="3"/>
        <v>15.975</v>
      </c>
    </row>
    <row r="17" spans="1:22" s="68" customFormat="1" ht="19.5" customHeight="1">
      <c r="A17" s="691">
        <v>10</v>
      </c>
      <c r="B17" s="692" t="s">
        <v>11</v>
      </c>
      <c r="C17" s="693">
        <v>101.4</v>
      </c>
      <c r="D17" s="694">
        <v>56.2</v>
      </c>
      <c r="E17" s="694">
        <v>37.3</v>
      </c>
      <c r="F17" s="694">
        <v>8</v>
      </c>
      <c r="G17" s="695">
        <f t="shared" si="1"/>
        <v>92.05999999999999</v>
      </c>
      <c r="H17" s="695">
        <v>51.48</v>
      </c>
      <c r="I17" s="695">
        <v>37.84</v>
      </c>
      <c r="J17" s="695">
        <v>2.74</v>
      </c>
      <c r="K17" s="696"/>
      <c r="L17" s="697">
        <v>14117.22</v>
      </c>
      <c r="M17" s="698">
        <f t="shared" si="2"/>
        <v>55.2</v>
      </c>
      <c r="N17" s="692">
        <v>22.97</v>
      </c>
      <c r="O17" s="692">
        <v>31.23</v>
      </c>
      <c r="P17" s="692">
        <v>1</v>
      </c>
      <c r="Q17" s="692"/>
      <c r="R17" s="699">
        <v>7328.5</v>
      </c>
      <c r="S17" s="704">
        <f t="shared" si="0"/>
        <v>0.5996089506843364</v>
      </c>
      <c r="T17" s="701" t="s">
        <v>319</v>
      </c>
      <c r="U17" s="757">
        <v>12</v>
      </c>
      <c r="V17" s="646">
        <f t="shared" si="3"/>
        <v>67.2</v>
      </c>
    </row>
    <row r="18" spans="1:22" s="68" customFormat="1" ht="26.25" customHeight="1">
      <c r="A18" s="691">
        <v>11</v>
      </c>
      <c r="B18" s="692" t="s">
        <v>12</v>
      </c>
      <c r="C18" s="693">
        <v>5</v>
      </c>
      <c r="D18" s="797">
        <v>1</v>
      </c>
      <c r="E18" s="797">
        <v>1</v>
      </c>
      <c r="F18" s="797">
        <v>3</v>
      </c>
      <c r="G18" s="798">
        <f t="shared" si="1"/>
        <v>2.6</v>
      </c>
      <c r="H18" s="798">
        <v>1</v>
      </c>
      <c r="I18" s="798"/>
      <c r="J18" s="798">
        <v>1.6</v>
      </c>
      <c r="K18" s="696"/>
      <c r="L18" s="697">
        <v>438</v>
      </c>
      <c r="M18" s="799">
        <f t="shared" si="2"/>
        <v>1.448</v>
      </c>
      <c r="N18" s="798">
        <f>0.43+0.22+0.03</f>
        <v>0.68</v>
      </c>
      <c r="O18" s="800">
        <f>+TXHL!U8</f>
        <v>0</v>
      </c>
      <c r="P18" s="798">
        <f>+TXHL!V8</f>
        <v>0.768</v>
      </c>
      <c r="Q18" s="800"/>
      <c r="R18" s="699">
        <f>+TXHL!X8+31</f>
        <v>66</v>
      </c>
      <c r="S18" s="704">
        <f t="shared" si="0"/>
        <v>0.5569230769230769</v>
      </c>
      <c r="T18" s="701" t="s">
        <v>334</v>
      </c>
      <c r="U18" s="757">
        <v>2.77</v>
      </c>
      <c r="V18" s="646">
        <f t="shared" si="3"/>
        <v>4.218</v>
      </c>
    </row>
    <row r="19" spans="1:22" s="68" customFormat="1" ht="19.5" customHeight="1">
      <c r="A19" s="779">
        <v>12</v>
      </c>
      <c r="B19" s="780" t="s">
        <v>13</v>
      </c>
      <c r="C19" s="781">
        <v>18</v>
      </c>
      <c r="D19" s="782">
        <v>4</v>
      </c>
      <c r="E19" s="782">
        <v>4.4</v>
      </c>
      <c r="F19" s="782">
        <v>9.6</v>
      </c>
      <c r="G19" s="783">
        <f t="shared" si="1"/>
        <v>18</v>
      </c>
      <c r="H19" s="783">
        <v>4</v>
      </c>
      <c r="I19" s="783">
        <v>4.4</v>
      </c>
      <c r="J19" s="783">
        <v>9.6</v>
      </c>
      <c r="K19" s="784"/>
      <c r="L19" s="785">
        <v>2384</v>
      </c>
      <c r="M19" s="786">
        <f t="shared" si="2"/>
        <v>8.6</v>
      </c>
      <c r="N19" s="787">
        <v>2.1</v>
      </c>
      <c r="O19" s="787">
        <v>0.4</v>
      </c>
      <c r="P19" s="787">
        <v>6.1</v>
      </c>
      <c r="Q19" s="788"/>
      <c r="R19" s="789">
        <v>953</v>
      </c>
      <c r="S19" s="790">
        <f t="shared" si="0"/>
        <v>0.47777777777777775</v>
      </c>
      <c r="T19" s="791"/>
      <c r="U19" s="758"/>
      <c r="V19" s="646">
        <f t="shared" si="3"/>
        <v>8.6</v>
      </c>
    </row>
    <row r="20" spans="1:22" ht="21.75" customHeight="1">
      <c r="A20" s="870" t="s">
        <v>23</v>
      </c>
      <c r="B20" s="871"/>
      <c r="C20" s="478">
        <f aca="true" t="shared" si="4" ref="C20:L20">+SUM(C8:C19)</f>
        <v>976.8000000000001</v>
      </c>
      <c r="D20" s="479">
        <f t="shared" si="4"/>
        <v>369.9</v>
      </c>
      <c r="E20" s="479">
        <f t="shared" si="4"/>
        <v>358.7</v>
      </c>
      <c r="F20" s="479">
        <f t="shared" si="4"/>
        <v>248.19999999999996</v>
      </c>
      <c r="G20" s="359">
        <f t="shared" si="4"/>
        <v>747.168</v>
      </c>
      <c r="H20" s="652">
        <f t="shared" si="4"/>
        <v>231.515</v>
      </c>
      <c r="I20" s="652">
        <f t="shared" si="4"/>
        <v>317.46799999999996</v>
      </c>
      <c r="J20" s="652">
        <f t="shared" si="4"/>
        <v>195.055</v>
      </c>
      <c r="K20" s="652">
        <f>+SUM(K8:K19)</f>
        <v>3.13</v>
      </c>
      <c r="L20" s="653">
        <f t="shared" si="4"/>
        <v>108098.62800000001</v>
      </c>
      <c r="M20" s="481">
        <f aca="true" t="shared" si="5" ref="M20:R20">+SUM(M8:M19)</f>
        <v>444.072</v>
      </c>
      <c r="N20" s="480">
        <f t="shared" si="5"/>
        <v>106.688</v>
      </c>
      <c r="O20" s="481">
        <f t="shared" si="5"/>
        <v>238.52700000000002</v>
      </c>
      <c r="P20" s="481">
        <f t="shared" si="5"/>
        <v>97.557</v>
      </c>
      <c r="Q20" s="481">
        <f t="shared" si="5"/>
        <v>1.3</v>
      </c>
      <c r="R20" s="654">
        <f t="shared" si="5"/>
        <v>60308.590000000004</v>
      </c>
      <c r="S20" s="655">
        <f t="shared" si="0"/>
        <v>0.5943402287035847</v>
      </c>
      <c r="T20" s="486" t="str">
        <f>+U4&amp;U20&amp;" km"</f>
        <v>Tổng đường dự án và đường khác: 73,58 km</v>
      </c>
      <c r="U20" s="759">
        <f>+SUM(U8:U19)</f>
        <v>73.58</v>
      </c>
      <c r="V20" s="656">
        <f>SUM(V8:V19)</f>
        <v>517.652</v>
      </c>
    </row>
    <row r="21" spans="2:22" ht="30" customHeight="1">
      <c r="B21" s="864" t="s">
        <v>48</v>
      </c>
      <c r="C21" s="865"/>
      <c r="D21" s="865"/>
      <c r="E21" s="865"/>
      <c r="F21" s="865"/>
      <c r="G21" s="865"/>
      <c r="H21" s="865"/>
      <c r="I21" s="865"/>
      <c r="J21" s="865"/>
      <c r="K21" s="865"/>
      <c r="L21" s="865"/>
      <c r="M21" s="865"/>
      <c r="N21" s="865"/>
      <c r="O21" s="865"/>
      <c r="P21" s="865"/>
      <c r="Q21" s="865"/>
      <c r="R21" s="865"/>
      <c r="S21" s="865"/>
      <c r="T21" s="865"/>
      <c r="U21" s="726"/>
      <c r="V21" s="770">
        <f>+M20+U20</f>
        <v>517.652</v>
      </c>
    </row>
    <row r="22" spans="2:22" ht="15">
      <c r="B22" s="162"/>
      <c r="O22" s="36"/>
      <c r="R22" s="165"/>
      <c r="S22" s="166"/>
      <c r="V22" s="793">
        <f>+V21-2.44</f>
        <v>515.212</v>
      </c>
    </row>
    <row r="23" spans="2:19" ht="15">
      <c r="B23" s="659"/>
      <c r="G23" s="167"/>
      <c r="M23" s="768">
        <f>+M20-395.625</f>
        <v>48.447</v>
      </c>
      <c r="R23" s="769">
        <f>+R20-55721</f>
        <v>4587.590000000004</v>
      </c>
      <c r="S23" s="26">
        <f>2.1+1.45</f>
        <v>3.55</v>
      </c>
    </row>
    <row r="24" ht="15">
      <c r="S24" s="26">
        <f>1.3+0.12+0.4+0.09+0.86</f>
        <v>2.77</v>
      </c>
    </row>
    <row r="47" spans="15:19" ht="15">
      <c r="O47" s="465">
        <v>3.457</v>
      </c>
      <c r="P47" s="465">
        <v>14.248</v>
      </c>
      <c r="Q47" s="465">
        <v>7.3</v>
      </c>
      <c r="R47" s="465"/>
      <c r="S47" s="616">
        <v>4856</v>
      </c>
    </row>
  </sheetData>
  <sheetProtection/>
  <mergeCells count="22">
    <mergeCell ref="A1:T1"/>
    <mergeCell ref="A2:T2"/>
    <mergeCell ref="A3:T3"/>
    <mergeCell ref="A4:A6"/>
    <mergeCell ref="B4:B6"/>
    <mergeCell ref="C4:F4"/>
    <mergeCell ref="U4:U6"/>
    <mergeCell ref="V4:V6"/>
    <mergeCell ref="C5:C6"/>
    <mergeCell ref="D5:F5"/>
    <mergeCell ref="G5:G6"/>
    <mergeCell ref="H5:K5"/>
    <mergeCell ref="L5:L6"/>
    <mergeCell ref="M5:M6"/>
    <mergeCell ref="N5:Q5"/>
    <mergeCell ref="R5:R6"/>
    <mergeCell ref="G4:L4"/>
    <mergeCell ref="M4:R4"/>
    <mergeCell ref="S4:S6"/>
    <mergeCell ref="T4:T6"/>
    <mergeCell ref="A20:B20"/>
    <mergeCell ref="B21:T21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47"/>
  <sheetViews>
    <sheetView view="pageLayout" workbookViewId="0" topLeftCell="A10">
      <selection activeCell="M16" sqref="M16:M18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7.125" style="26" customWidth="1"/>
    <col min="20" max="20" width="45.25390625" style="26" customWidth="1"/>
    <col min="21" max="21" width="5.50390625" style="26" customWidth="1"/>
    <col min="22" max="22" width="13.875" style="649" customWidth="1"/>
    <col min="23" max="23" width="10.625" style="26" customWidth="1"/>
    <col min="24" max="24" width="20.875" style="26" customWidth="1"/>
    <col min="25" max="27" width="9.00390625" style="26" customWidth="1"/>
    <col min="28" max="16384" width="9.00390625" style="26" customWidth="1"/>
  </cols>
  <sheetData>
    <row r="1" spans="1:24" ht="30" customHeight="1">
      <c r="A1" s="856" t="s">
        <v>36</v>
      </c>
      <c r="B1" s="856"/>
      <c r="C1" s="856"/>
      <c r="D1" s="856"/>
      <c r="E1" s="856"/>
      <c r="F1" s="856"/>
      <c r="G1" s="856"/>
      <c r="H1" s="856"/>
      <c r="I1" s="856"/>
      <c r="J1" s="856"/>
      <c r="K1" s="856"/>
      <c r="L1" s="856"/>
      <c r="M1" s="856"/>
      <c r="N1" s="856"/>
      <c r="O1" s="856"/>
      <c r="P1" s="856"/>
      <c r="Q1" s="856"/>
      <c r="R1" s="856"/>
      <c r="S1" s="856"/>
      <c r="T1" s="856"/>
      <c r="U1" s="636"/>
      <c r="V1" s="636"/>
      <c r="W1" s="146"/>
      <c r="X1" s="146"/>
    </row>
    <row r="2" spans="1:24" s="148" customFormat="1" ht="22.5" customHeight="1">
      <c r="A2" s="857" t="s">
        <v>330</v>
      </c>
      <c r="B2" s="857"/>
      <c r="C2" s="857"/>
      <c r="D2" s="857"/>
      <c r="E2" s="857"/>
      <c r="F2" s="857"/>
      <c r="G2" s="857"/>
      <c r="H2" s="857"/>
      <c r="I2" s="857"/>
      <c r="J2" s="857"/>
      <c r="K2" s="857"/>
      <c r="L2" s="857"/>
      <c r="M2" s="857"/>
      <c r="N2" s="857"/>
      <c r="O2" s="857"/>
      <c r="P2" s="857"/>
      <c r="Q2" s="857"/>
      <c r="R2" s="857"/>
      <c r="S2" s="857"/>
      <c r="T2" s="857"/>
      <c r="U2" s="637"/>
      <c r="V2" s="637"/>
      <c r="W2" s="147"/>
      <c r="X2" s="147"/>
    </row>
    <row r="3" spans="1:24" s="148" customFormat="1" ht="22.5" customHeight="1">
      <c r="A3" s="858"/>
      <c r="B3" s="858"/>
      <c r="C3" s="858"/>
      <c r="D3" s="858"/>
      <c r="E3" s="858"/>
      <c r="F3" s="858"/>
      <c r="G3" s="858"/>
      <c r="H3" s="858"/>
      <c r="I3" s="858"/>
      <c r="J3" s="858"/>
      <c r="K3" s="858"/>
      <c r="L3" s="858"/>
      <c r="M3" s="858"/>
      <c r="N3" s="858"/>
      <c r="O3" s="858"/>
      <c r="P3" s="858"/>
      <c r="Q3" s="858"/>
      <c r="R3" s="858"/>
      <c r="S3" s="858"/>
      <c r="T3" s="858"/>
      <c r="U3" s="658"/>
      <c r="V3" s="658"/>
      <c r="W3" s="147"/>
      <c r="X3" s="147"/>
    </row>
    <row r="4" spans="1:23" s="151" customFormat="1" ht="46.5" customHeight="1">
      <c r="A4" s="859" t="s">
        <v>0</v>
      </c>
      <c r="B4" s="860" t="s">
        <v>1</v>
      </c>
      <c r="C4" s="861" t="s">
        <v>25</v>
      </c>
      <c r="D4" s="861"/>
      <c r="E4" s="861"/>
      <c r="F4" s="861"/>
      <c r="G4" s="845" t="s">
        <v>26</v>
      </c>
      <c r="H4" s="846"/>
      <c r="I4" s="846"/>
      <c r="J4" s="846"/>
      <c r="K4" s="846"/>
      <c r="L4" s="847"/>
      <c r="M4" s="848" t="s">
        <v>307</v>
      </c>
      <c r="N4" s="849"/>
      <c r="O4" s="849"/>
      <c r="P4" s="849"/>
      <c r="Q4" s="849"/>
      <c r="R4" s="850"/>
      <c r="S4" s="866" t="s">
        <v>43</v>
      </c>
      <c r="T4" s="859" t="s">
        <v>14</v>
      </c>
      <c r="U4" s="866" t="s">
        <v>329</v>
      </c>
      <c r="V4" s="867" t="s">
        <v>313</v>
      </c>
      <c r="W4" s="150"/>
    </row>
    <row r="5" spans="1:24" s="151" customFormat="1" ht="14.25" customHeight="1">
      <c r="A5" s="859"/>
      <c r="B5" s="860"/>
      <c r="C5" s="861" t="s">
        <v>20</v>
      </c>
      <c r="D5" s="868" t="s">
        <v>21</v>
      </c>
      <c r="E5" s="868"/>
      <c r="F5" s="868"/>
      <c r="G5" s="860" t="s">
        <v>38</v>
      </c>
      <c r="H5" s="869" t="s">
        <v>21</v>
      </c>
      <c r="I5" s="869"/>
      <c r="J5" s="869"/>
      <c r="K5" s="869"/>
      <c r="L5" s="854" t="s">
        <v>202</v>
      </c>
      <c r="M5" s="860" t="s">
        <v>38</v>
      </c>
      <c r="N5" s="851" t="s">
        <v>21</v>
      </c>
      <c r="O5" s="852"/>
      <c r="P5" s="852"/>
      <c r="Q5" s="853"/>
      <c r="R5" s="854" t="s">
        <v>37</v>
      </c>
      <c r="S5" s="866"/>
      <c r="T5" s="859"/>
      <c r="U5" s="866"/>
      <c r="V5" s="867"/>
      <c r="W5" s="152"/>
      <c r="X5" s="153"/>
    </row>
    <row r="6" spans="1:24" s="151" customFormat="1" ht="76.5">
      <c r="A6" s="859"/>
      <c r="B6" s="860"/>
      <c r="C6" s="861"/>
      <c r="D6" s="154" t="s">
        <v>17</v>
      </c>
      <c r="E6" s="154" t="s">
        <v>18</v>
      </c>
      <c r="F6" s="154" t="s">
        <v>19</v>
      </c>
      <c r="G6" s="860"/>
      <c r="H6" s="149" t="s">
        <v>39</v>
      </c>
      <c r="I6" s="149" t="s">
        <v>40</v>
      </c>
      <c r="J6" s="149" t="s">
        <v>41</v>
      </c>
      <c r="K6" s="149" t="s">
        <v>42</v>
      </c>
      <c r="L6" s="855"/>
      <c r="M6" s="860"/>
      <c r="N6" s="149" t="s">
        <v>39</v>
      </c>
      <c r="O6" s="149" t="s">
        <v>40</v>
      </c>
      <c r="P6" s="149" t="s">
        <v>41</v>
      </c>
      <c r="Q6" s="149" t="s">
        <v>42</v>
      </c>
      <c r="R6" s="855"/>
      <c r="S6" s="866"/>
      <c r="T6" s="859"/>
      <c r="U6" s="866"/>
      <c r="V6" s="867"/>
      <c r="W6" s="155"/>
      <c r="X6" s="153"/>
    </row>
    <row r="7" spans="1:24" s="148" customFormat="1" ht="17.25" customHeight="1">
      <c r="A7" s="639">
        <v>1</v>
      </c>
      <c r="B7" s="640">
        <v>2</v>
      </c>
      <c r="C7" s="641"/>
      <c r="D7" s="641"/>
      <c r="E7" s="641"/>
      <c r="F7" s="641"/>
      <c r="G7" s="640">
        <v>3</v>
      </c>
      <c r="H7" s="642">
        <v>4</v>
      </c>
      <c r="I7" s="642">
        <v>5</v>
      </c>
      <c r="J7" s="642">
        <v>6</v>
      </c>
      <c r="K7" s="642">
        <v>7</v>
      </c>
      <c r="L7" s="642">
        <v>8</v>
      </c>
      <c r="M7" s="642">
        <v>15</v>
      </c>
      <c r="N7" s="642">
        <v>16</v>
      </c>
      <c r="O7" s="642">
        <v>17</v>
      </c>
      <c r="P7" s="642">
        <v>18</v>
      </c>
      <c r="Q7" s="642">
        <v>19</v>
      </c>
      <c r="R7" s="642">
        <v>20</v>
      </c>
      <c r="S7" s="640" t="s">
        <v>47</v>
      </c>
      <c r="T7" s="689">
        <v>22</v>
      </c>
      <c r="U7" s="640"/>
      <c r="V7" s="643"/>
      <c r="W7" s="155"/>
      <c r="X7" s="643"/>
    </row>
    <row r="8" spans="1:23" s="763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6645.867999999999</v>
      </c>
      <c r="M8" s="547">
        <f>SUM(N8:Q8)</f>
        <v>28.919999999999998</v>
      </c>
      <c r="N8" s="465">
        <v>5.1</v>
      </c>
      <c r="O8" s="465">
        <v>16.52</v>
      </c>
      <c r="P8" s="465">
        <v>7.3</v>
      </c>
      <c r="Q8" s="465"/>
      <c r="R8" s="616">
        <v>6440.65</v>
      </c>
      <c r="S8" s="549">
        <f aca="true" t="shared" si="0" ref="S8:S20">+M8/G8</f>
        <v>0.830318690783807</v>
      </c>
      <c r="T8" s="688" t="s">
        <v>311</v>
      </c>
      <c r="U8" s="760">
        <v>4</v>
      </c>
      <c r="V8" s="761">
        <f>+M8+U8</f>
        <v>32.92</v>
      </c>
      <c r="W8" s="762"/>
    </row>
    <row r="9" spans="1:22" s="727" customFormat="1" ht="24" customHeight="1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1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9955.8</v>
      </c>
      <c r="M9" s="648">
        <f aca="true" t="shared" si="2" ref="M9:M19">SUM(N9:Q9)</f>
        <v>24.002</v>
      </c>
      <c r="N9" s="342">
        <v>9.83</v>
      </c>
      <c r="O9" s="690">
        <v>10.67</v>
      </c>
      <c r="P9" s="342">
        <v>3.502</v>
      </c>
      <c r="Q9" s="342"/>
      <c r="R9" s="647">
        <v>3868.88</v>
      </c>
      <c r="S9" s="604">
        <f t="shared" si="0"/>
        <v>0.41569822823394936</v>
      </c>
      <c r="T9" s="645" t="s">
        <v>314</v>
      </c>
      <c r="U9" s="756"/>
      <c r="V9" s="646">
        <f aca="true" t="shared" si="3" ref="V9:V19">+M9+U9</f>
        <v>24.002</v>
      </c>
    </row>
    <row r="10" spans="1:25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1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603">
        <f>SUM(N10:Q10)</f>
        <v>27.4</v>
      </c>
      <c r="N10" s="471">
        <v>4.59</v>
      </c>
      <c r="O10" s="471">
        <v>14.35</v>
      </c>
      <c r="P10" s="471">
        <v>8.46</v>
      </c>
      <c r="Q10" s="471"/>
      <c r="R10" s="618">
        <v>4489</v>
      </c>
      <c r="S10" s="604">
        <f t="shared" si="0"/>
        <v>0.6372093023255814</v>
      </c>
      <c r="T10" s="473"/>
      <c r="U10" s="756"/>
      <c r="V10" s="646">
        <f t="shared" si="3"/>
        <v>27.4</v>
      </c>
      <c r="Y10" s="77"/>
    </row>
    <row r="11" spans="1:22" s="728" customFormat="1" ht="23.25" customHeight="1">
      <c r="A11" s="267">
        <v>4</v>
      </c>
      <c r="B11" s="475" t="s">
        <v>6</v>
      </c>
      <c r="C11" s="348">
        <f>+D11+E11+F11</f>
        <v>60</v>
      </c>
      <c r="D11" s="342">
        <v>17</v>
      </c>
      <c r="E11" s="342">
        <v>18</v>
      </c>
      <c r="F11" s="342">
        <v>25</v>
      </c>
      <c r="G11" s="558">
        <f t="shared" si="1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605">
        <f t="shared" si="2"/>
        <v>26.330000000000002</v>
      </c>
      <c r="N11" s="506">
        <v>12.47</v>
      </c>
      <c r="O11" s="475">
        <v>5.22</v>
      </c>
      <c r="P11" s="475">
        <v>8.64</v>
      </c>
      <c r="Q11" s="475"/>
      <c r="R11" s="619">
        <v>1181</v>
      </c>
      <c r="S11" s="563">
        <f t="shared" si="0"/>
        <v>0.43883333333333335</v>
      </c>
      <c r="T11" s="645" t="s">
        <v>310</v>
      </c>
      <c r="U11" s="757">
        <v>4.5</v>
      </c>
      <c r="V11" s="646">
        <f t="shared" si="3"/>
        <v>30.830000000000002</v>
      </c>
    </row>
    <row r="12" spans="1:22" s="728" customFormat="1" ht="24.75" customHeight="1">
      <c r="A12" s="267">
        <v>5</v>
      </c>
      <c r="B12" s="475" t="s">
        <v>7</v>
      </c>
      <c r="C12" s="348">
        <v>83.4</v>
      </c>
      <c r="D12" s="342">
        <v>28.9</v>
      </c>
      <c r="E12" s="342">
        <v>45.8</v>
      </c>
      <c r="F12" s="342">
        <v>8.7</v>
      </c>
      <c r="G12" s="558">
        <f t="shared" si="1"/>
        <v>84.369</v>
      </c>
      <c r="H12" s="558">
        <v>20.07</v>
      </c>
      <c r="I12" s="558">
        <v>54.049</v>
      </c>
      <c r="J12" s="558">
        <v>7.12</v>
      </c>
      <c r="K12" s="531">
        <v>3.13</v>
      </c>
      <c r="L12" s="629">
        <v>11267.87</v>
      </c>
      <c r="M12" s="605">
        <f t="shared" si="2"/>
        <v>64.58</v>
      </c>
      <c r="N12" s="475">
        <v>14.5</v>
      </c>
      <c r="O12" s="475">
        <v>42.4</v>
      </c>
      <c r="P12" s="475">
        <v>6.38</v>
      </c>
      <c r="Q12" s="475">
        <v>1.3</v>
      </c>
      <c r="R12" s="619">
        <v>9188.4</v>
      </c>
      <c r="S12" s="563">
        <f t="shared" si="0"/>
        <v>0.765447024380993</v>
      </c>
      <c r="T12" s="476" t="s">
        <v>309</v>
      </c>
      <c r="U12" s="757"/>
      <c r="V12" s="646">
        <f t="shared" si="3"/>
        <v>64.58</v>
      </c>
    </row>
    <row r="13" spans="1:22" s="765" customFormat="1" ht="21.75" customHeight="1">
      <c r="A13" s="267">
        <v>6</v>
      </c>
      <c r="B13" s="475" t="s">
        <v>8</v>
      </c>
      <c r="C13" s="348">
        <v>110.5</v>
      </c>
      <c r="D13" s="342">
        <v>52.1</v>
      </c>
      <c r="E13" s="342">
        <v>26.1</v>
      </c>
      <c r="F13" s="342">
        <v>32.3</v>
      </c>
      <c r="G13" s="558">
        <f t="shared" si="1"/>
        <v>88.69</v>
      </c>
      <c r="H13" s="558">
        <v>15.02</v>
      </c>
      <c r="I13" s="558">
        <v>43.97</v>
      </c>
      <c r="J13" s="558">
        <v>29.7</v>
      </c>
      <c r="K13" s="531"/>
      <c r="L13" s="629">
        <v>11441.72</v>
      </c>
      <c r="M13" s="605">
        <f t="shared" si="2"/>
        <v>42.629999999999995</v>
      </c>
      <c r="N13" s="475">
        <v>3.75</v>
      </c>
      <c r="O13" s="475">
        <v>22.23</v>
      </c>
      <c r="P13" s="475">
        <v>16.65</v>
      </c>
      <c r="Q13" s="475"/>
      <c r="R13" s="619">
        <v>5339</v>
      </c>
      <c r="S13" s="563">
        <f t="shared" si="0"/>
        <v>0.4806629834254143</v>
      </c>
      <c r="T13" s="476"/>
      <c r="U13" s="764"/>
      <c r="V13" s="761">
        <f t="shared" si="3"/>
        <v>42.629999999999995</v>
      </c>
    </row>
    <row r="14" spans="1:22" s="727" customFormat="1" ht="21.75" customHeight="1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1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603">
        <f t="shared" si="2"/>
        <v>60.86</v>
      </c>
      <c r="N14" s="471">
        <v>8.82</v>
      </c>
      <c r="O14" s="471">
        <v>28.82</v>
      </c>
      <c r="P14" s="471">
        <v>23.22</v>
      </c>
      <c r="Q14" s="471"/>
      <c r="R14" s="618">
        <v>7406</v>
      </c>
      <c r="S14" s="604">
        <f t="shared" si="0"/>
        <v>0.45649564956495653</v>
      </c>
      <c r="T14" s="473" t="s">
        <v>328</v>
      </c>
      <c r="U14" s="756">
        <v>2.25</v>
      </c>
      <c r="V14" s="646">
        <f t="shared" si="3"/>
        <v>63.11</v>
      </c>
    </row>
    <row r="15" spans="1:22" s="765" customFormat="1" ht="21.75" customHeight="1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1"/>
        <v>94</v>
      </c>
      <c r="H15" s="558">
        <v>28.09</v>
      </c>
      <c r="I15" s="558">
        <v>48.3</v>
      </c>
      <c r="J15" s="558">
        <v>17.61</v>
      </c>
      <c r="K15" s="531"/>
      <c r="L15" s="629">
        <v>12917.85</v>
      </c>
      <c r="M15" s="603">
        <f t="shared" si="2"/>
        <v>50.32</v>
      </c>
      <c r="N15" s="471">
        <v>8.39</v>
      </c>
      <c r="O15" s="471">
        <v>35.33</v>
      </c>
      <c r="P15" s="471">
        <v>6.6</v>
      </c>
      <c r="Q15" s="471"/>
      <c r="R15" s="618">
        <v>7149.6</v>
      </c>
      <c r="S15" s="604">
        <f t="shared" si="0"/>
        <v>0.5353191489361702</v>
      </c>
      <c r="T15" s="476" t="s">
        <v>312</v>
      </c>
      <c r="U15" s="766">
        <v>26.6</v>
      </c>
      <c r="V15" s="761">
        <f t="shared" si="3"/>
        <v>76.92</v>
      </c>
    </row>
    <row r="16" spans="1:22" s="727" customFormat="1" ht="21.75" customHeight="1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1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767">
        <f t="shared" si="2"/>
        <v>14.674999999999999</v>
      </c>
      <c r="N16" s="471">
        <v>4.378</v>
      </c>
      <c r="O16" s="471">
        <v>9.597</v>
      </c>
      <c r="P16" s="471">
        <v>0.7</v>
      </c>
      <c r="Q16" s="471"/>
      <c r="R16" s="618">
        <v>2381</v>
      </c>
      <c r="S16" s="604">
        <f t="shared" si="0"/>
        <v>0.38057572614107876</v>
      </c>
      <c r="T16" s="473" t="s">
        <v>320</v>
      </c>
      <c r="U16" s="756">
        <v>1.3</v>
      </c>
      <c r="V16" s="646">
        <f t="shared" si="3"/>
        <v>15.975</v>
      </c>
    </row>
    <row r="17" spans="1:22" s="727" customFormat="1" ht="19.5" customHeight="1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1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14117.22</v>
      </c>
      <c r="M17" s="603">
        <f t="shared" si="2"/>
        <v>46.46</v>
      </c>
      <c r="N17" s="471">
        <v>20.8</v>
      </c>
      <c r="O17" s="471">
        <v>24.66</v>
      </c>
      <c r="P17" s="471">
        <v>1</v>
      </c>
      <c r="Q17" s="471"/>
      <c r="R17" s="618">
        <v>7328.5</v>
      </c>
      <c r="S17" s="563">
        <f t="shared" si="0"/>
        <v>0.5046708668259832</v>
      </c>
      <c r="T17" s="476" t="s">
        <v>319</v>
      </c>
      <c r="U17" s="757">
        <v>12</v>
      </c>
      <c r="V17" s="646">
        <f t="shared" si="3"/>
        <v>58.46</v>
      </c>
    </row>
    <row r="18" spans="1:22" s="727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1"/>
        <v>2.6</v>
      </c>
      <c r="H18" s="607">
        <v>1</v>
      </c>
      <c r="I18" s="607"/>
      <c r="J18" s="607">
        <v>1.6</v>
      </c>
      <c r="K18" s="531"/>
      <c r="L18" s="629">
        <v>438</v>
      </c>
      <c r="M18" s="608">
        <f t="shared" si="2"/>
        <v>1.448</v>
      </c>
      <c r="N18" s="607">
        <f>0.43+0.22+0.03</f>
        <v>0.68</v>
      </c>
      <c r="O18" s="623">
        <f>+TXHL!U8</f>
        <v>0</v>
      </c>
      <c r="P18" s="607">
        <f>+TXHL!V8</f>
        <v>0.768</v>
      </c>
      <c r="Q18" s="623"/>
      <c r="R18" s="618">
        <f>+TXHL!X8+31</f>
        <v>66</v>
      </c>
      <c r="S18" s="563">
        <f t="shared" si="0"/>
        <v>0.5569230769230769</v>
      </c>
      <c r="T18" s="476" t="s">
        <v>322</v>
      </c>
      <c r="U18" s="757">
        <v>2</v>
      </c>
      <c r="V18" s="646">
        <f t="shared" si="3"/>
        <v>3.448</v>
      </c>
    </row>
    <row r="19" spans="1:22" s="727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1"/>
        <v>18</v>
      </c>
      <c r="H19" s="650">
        <v>4</v>
      </c>
      <c r="I19" s="650">
        <v>4.4</v>
      </c>
      <c r="J19" s="650">
        <v>9.6</v>
      </c>
      <c r="K19" s="651"/>
      <c r="L19" s="630">
        <v>2384</v>
      </c>
      <c r="M19" s="584">
        <f t="shared" si="2"/>
        <v>8</v>
      </c>
      <c r="N19" s="585">
        <v>1.9</v>
      </c>
      <c r="O19" s="585">
        <v>0.4</v>
      </c>
      <c r="P19" s="585">
        <v>5.7</v>
      </c>
      <c r="Q19" s="624"/>
      <c r="R19" s="621">
        <v>883</v>
      </c>
      <c r="S19" s="610">
        <f t="shared" si="0"/>
        <v>0.4444444444444444</v>
      </c>
      <c r="T19" s="587"/>
      <c r="U19" s="758"/>
      <c r="V19" s="646">
        <f t="shared" si="3"/>
        <v>8</v>
      </c>
    </row>
    <row r="20" spans="1:22" ht="21.75" customHeight="1">
      <c r="A20" s="870" t="s">
        <v>23</v>
      </c>
      <c r="B20" s="871"/>
      <c r="C20" s="478">
        <f aca="true" t="shared" si="4" ref="C20:L20">+SUM(C8:C19)</f>
        <v>976.8000000000001</v>
      </c>
      <c r="D20" s="479">
        <f t="shared" si="4"/>
        <v>369.9</v>
      </c>
      <c r="E20" s="479">
        <f t="shared" si="4"/>
        <v>358.7</v>
      </c>
      <c r="F20" s="479">
        <f t="shared" si="4"/>
        <v>248.19999999999996</v>
      </c>
      <c r="G20" s="359">
        <f t="shared" si="4"/>
        <v>747.168</v>
      </c>
      <c r="H20" s="652">
        <f t="shared" si="4"/>
        <v>231.515</v>
      </c>
      <c r="I20" s="652">
        <f t="shared" si="4"/>
        <v>317.46799999999996</v>
      </c>
      <c r="J20" s="652">
        <f t="shared" si="4"/>
        <v>195.055</v>
      </c>
      <c r="K20" s="652">
        <f>+SUM(K8:K19)</f>
        <v>3.13</v>
      </c>
      <c r="L20" s="653">
        <f t="shared" si="4"/>
        <v>108098.62800000001</v>
      </c>
      <c r="M20" s="481">
        <f aca="true" t="shared" si="5" ref="M20:R20">+SUM(M8:M19)</f>
        <v>395.62499999999994</v>
      </c>
      <c r="N20" s="480">
        <f t="shared" si="5"/>
        <v>95.20800000000001</v>
      </c>
      <c r="O20" s="481">
        <f t="shared" si="5"/>
        <v>210.19700000000003</v>
      </c>
      <c r="P20" s="481">
        <f t="shared" si="5"/>
        <v>88.92</v>
      </c>
      <c r="Q20" s="481">
        <f t="shared" si="5"/>
        <v>1.3</v>
      </c>
      <c r="R20" s="654">
        <f t="shared" si="5"/>
        <v>55721.03</v>
      </c>
      <c r="S20" s="655">
        <f t="shared" si="0"/>
        <v>0.52949938969549</v>
      </c>
      <c r="T20" s="486" t="str">
        <f>+U4&amp;U20&amp;" km"</f>
        <v>Tổng đường dự án và đường khác: 52,65 km</v>
      </c>
      <c r="U20" s="759">
        <f>+SUM(U8:U19)</f>
        <v>52.65</v>
      </c>
      <c r="V20" s="656">
        <f>SUM(V8:V19)</f>
        <v>448.275</v>
      </c>
    </row>
    <row r="21" spans="2:22" ht="30" customHeight="1">
      <c r="B21" s="864" t="s">
        <v>48</v>
      </c>
      <c r="C21" s="865"/>
      <c r="D21" s="865"/>
      <c r="E21" s="865"/>
      <c r="F21" s="865"/>
      <c r="G21" s="865"/>
      <c r="H21" s="865"/>
      <c r="I21" s="865"/>
      <c r="J21" s="865"/>
      <c r="K21" s="865"/>
      <c r="L21" s="865"/>
      <c r="M21" s="865"/>
      <c r="N21" s="865"/>
      <c r="O21" s="865"/>
      <c r="P21" s="865"/>
      <c r="Q21" s="865"/>
      <c r="R21" s="865"/>
      <c r="S21" s="865"/>
      <c r="T21" s="865"/>
      <c r="U21" s="726"/>
      <c r="V21" s="657"/>
    </row>
    <row r="22" spans="2:19" ht="15">
      <c r="B22" s="162"/>
      <c r="O22" s="36"/>
      <c r="R22" s="165"/>
      <c r="S22" s="166"/>
    </row>
    <row r="23" spans="2:18" ht="15">
      <c r="B23" s="659"/>
      <c r="G23" s="167"/>
      <c r="M23" s="168"/>
      <c r="R23" s="169"/>
    </row>
    <row r="47" spans="15:19" ht="15">
      <c r="O47" s="465">
        <v>3.457</v>
      </c>
      <c r="P47" s="465">
        <v>14.248</v>
      </c>
      <c r="Q47" s="465">
        <v>7.3</v>
      </c>
      <c r="R47" s="465"/>
      <c r="S47" s="616">
        <v>4856</v>
      </c>
    </row>
  </sheetData>
  <sheetProtection/>
  <mergeCells count="22">
    <mergeCell ref="A1:T1"/>
    <mergeCell ref="A2:T2"/>
    <mergeCell ref="A3:T3"/>
    <mergeCell ref="A4:A6"/>
    <mergeCell ref="B4:B6"/>
    <mergeCell ref="C4:F4"/>
    <mergeCell ref="G4:L4"/>
    <mergeCell ref="M4:R4"/>
    <mergeCell ref="V4:V6"/>
    <mergeCell ref="C5:C6"/>
    <mergeCell ref="D5:F5"/>
    <mergeCell ref="G5:G6"/>
    <mergeCell ref="H5:K5"/>
    <mergeCell ref="L5:L6"/>
    <mergeCell ref="N5:Q5"/>
    <mergeCell ref="R5:R6"/>
    <mergeCell ref="A20:B20"/>
    <mergeCell ref="B21:T21"/>
    <mergeCell ref="M5:M6"/>
    <mergeCell ref="S4:S6"/>
    <mergeCell ref="T4:T6"/>
    <mergeCell ref="U4:U6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K47"/>
  <sheetViews>
    <sheetView view="pageLayout" workbookViewId="0" topLeftCell="A16">
      <selection activeCell="A2" sqref="A2:AF2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6.625" style="163" customWidth="1"/>
    <col min="20" max="24" width="6.625" style="26" customWidth="1"/>
    <col min="25" max="25" width="6.625" style="163" customWidth="1"/>
    <col min="26" max="30" width="6.625" style="26" customWidth="1"/>
    <col min="31" max="31" width="7.125" style="26" customWidth="1"/>
    <col min="32" max="32" width="45.25390625" style="26" hidden="1" customWidth="1"/>
    <col min="33" max="33" width="5.50390625" style="26" customWidth="1"/>
    <col min="34" max="34" width="13.875" style="649" customWidth="1"/>
    <col min="35" max="35" width="10.625" style="26" customWidth="1"/>
    <col min="36" max="36" width="20.875" style="26" customWidth="1"/>
    <col min="37" max="39" width="9.00390625" style="26" customWidth="1"/>
    <col min="40" max="16384" width="9.00390625" style="26" customWidth="1"/>
  </cols>
  <sheetData>
    <row r="1" spans="1:36" ht="30" customHeight="1">
      <c r="A1" s="856" t="s">
        <v>36</v>
      </c>
      <c r="B1" s="856"/>
      <c r="C1" s="856"/>
      <c r="D1" s="856"/>
      <c r="E1" s="856"/>
      <c r="F1" s="856"/>
      <c r="G1" s="856"/>
      <c r="H1" s="856"/>
      <c r="I1" s="856"/>
      <c r="J1" s="856"/>
      <c r="K1" s="856"/>
      <c r="L1" s="856"/>
      <c r="M1" s="856"/>
      <c r="N1" s="856"/>
      <c r="O1" s="856"/>
      <c r="P1" s="856"/>
      <c r="Q1" s="856"/>
      <c r="R1" s="856"/>
      <c r="S1" s="856"/>
      <c r="T1" s="856"/>
      <c r="U1" s="856"/>
      <c r="V1" s="856"/>
      <c r="W1" s="856"/>
      <c r="X1" s="856"/>
      <c r="Y1" s="856"/>
      <c r="Z1" s="856"/>
      <c r="AA1" s="856"/>
      <c r="AB1" s="856"/>
      <c r="AC1" s="856"/>
      <c r="AD1" s="856"/>
      <c r="AE1" s="856"/>
      <c r="AF1" s="856"/>
      <c r="AG1" s="636"/>
      <c r="AH1" s="636"/>
      <c r="AI1" s="146"/>
      <c r="AJ1" s="146"/>
    </row>
    <row r="2" spans="1:36" s="148" customFormat="1" ht="22.5" customHeight="1">
      <c r="A2" s="857" t="s">
        <v>324</v>
      </c>
      <c r="B2" s="857"/>
      <c r="C2" s="857"/>
      <c r="D2" s="857"/>
      <c r="E2" s="857"/>
      <c r="F2" s="857"/>
      <c r="G2" s="857"/>
      <c r="H2" s="857"/>
      <c r="I2" s="857"/>
      <c r="J2" s="857"/>
      <c r="K2" s="857"/>
      <c r="L2" s="857"/>
      <c r="M2" s="857"/>
      <c r="N2" s="857"/>
      <c r="O2" s="857"/>
      <c r="P2" s="857"/>
      <c r="Q2" s="857"/>
      <c r="R2" s="857"/>
      <c r="S2" s="857"/>
      <c r="T2" s="857"/>
      <c r="U2" s="857"/>
      <c r="V2" s="857"/>
      <c r="W2" s="857"/>
      <c r="X2" s="857"/>
      <c r="Y2" s="857"/>
      <c r="Z2" s="857"/>
      <c r="AA2" s="857"/>
      <c r="AB2" s="857"/>
      <c r="AC2" s="857"/>
      <c r="AD2" s="857"/>
      <c r="AE2" s="857"/>
      <c r="AF2" s="857"/>
      <c r="AG2" s="637"/>
      <c r="AH2" s="637"/>
      <c r="AI2" s="147"/>
      <c r="AJ2" s="147"/>
    </row>
    <row r="3" spans="1:36" s="148" customFormat="1" ht="22.5" customHeight="1">
      <c r="A3" s="858"/>
      <c r="B3" s="858"/>
      <c r="C3" s="858"/>
      <c r="D3" s="858"/>
      <c r="E3" s="858"/>
      <c r="F3" s="858"/>
      <c r="G3" s="858"/>
      <c r="H3" s="858"/>
      <c r="I3" s="858"/>
      <c r="J3" s="858"/>
      <c r="K3" s="858"/>
      <c r="L3" s="858"/>
      <c r="M3" s="858"/>
      <c r="N3" s="858"/>
      <c r="O3" s="858"/>
      <c r="P3" s="858"/>
      <c r="Q3" s="858"/>
      <c r="R3" s="858"/>
      <c r="S3" s="858"/>
      <c r="T3" s="858"/>
      <c r="U3" s="858"/>
      <c r="V3" s="858"/>
      <c r="W3" s="858"/>
      <c r="X3" s="858"/>
      <c r="Y3" s="858"/>
      <c r="Z3" s="858"/>
      <c r="AA3" s="858"/>
      <c r="AB3" s="858"/>
      <c r="AC3" s="858"/>
      <c r="AD3" s="858"/>
      <c r="AE3" s="858"/>
      <c r="AF3" s="858"/>
      <c r="AG3" s="658"/>
      <c r="AH3" s="658"/>
      <c r="AI3" s="147"/>
      <c r="AJ3" s="147"/>
    </row>
    <row r="4" spans="1:35" s="151" customFormat="1" ht="46.5" customHeight="1">
      <c r="A4" s="859" t="s">
        <v>0</v>
      </c>
      <c r="B4" s="860" t="s">
        <v>1</v>
      </c>
      <c r="C4" s="861" t="s">
        <v>25</v>
      </c>
      <c r="D4" s="861"/>
      <c r="E4" s="861"/>
      <c r="F4" s="861"/>
      <c r="G4" s="845" t="s">
        <v>26</v>
      </c>
      <c r="H4" s="846"/>
      <c r="I4" s="846"/>
      <c r="J4" s="846"/>
      <c r="K4" s="846"/>
      <c r="L4" s="847"/>
      <c r="M4" s="872" t="s">
        <v>323</v>
      </c>
      <c r="N4" s="873"/>
      <c r="O4" s="873"/>
      <c r="P4" s="873"/>
      <c r="Q4" s="873"/>
      <c r="R4" s="874"/>
      <c r="S4" s="848" t="s">
        <v>325</v>
      </c>
      <c r="T4" s="849"/>
      <c r="U4" s="849"/>
      <c r="V4" s="849"/>
      <c r="W4" s="849"/>
      <c r="X4" s="850"/>
      <c r="Y4" s="848" t="s">
        <v>307</v>
      </c>
      <c r="Z4" s="849"/>
      <c r="AA4" s="849"/>
      <c r="AB4" s="849"/>
      <c r="AC4" s="849"/>
      <c r="AD4" s="850"/>
      <c r="AE4" s="866" t="s">
        <v>43</v>
      </c>
      <c r="AF4" s="859" t="s">
        <v>14</v>
      </c>
      <c r="AG4" s="866" t="s">
        <v>327</v>
      </c>
      <c r="AH4" s="867" t="s">
        <v>313</v>
      </c>
      <c r="AI4" s="150"/>
    </row>
    <row r="5" spans="1:36" s="151" customFormat="1" ht="14.25" customHeight="1">
      <c r="A5" s="859"/>
      <c r="B5" s="860"/>
      <c r="C5" s="861" t="s">
        <v>20</v>
      </c>
      <c r="D5" s="868" t="s">
        <v>21</v>
      </c>
      <c r="E5" s="868"/>
      <c r="F5" s="868"/>
      <c r="G5" s="860" t="s">
        <v>38</v>
      </c>
      <c r="H5" s="869" t="s">
        <v>21</v>
      </c>
      <c r="I5" s="869"/>
      <c r="J5" s="869"/>
      <c r="K5" s="869"/>
      <c r="L5" s="854" t="s">
        <v>202</v>
      </c>
      <c r="M5" s="875" t="s">
        <v>38</v>
      </c>
      <c r="N5" s="876" t="s">
        <v>21</v>
      </c>
      <c r="O5" s="877"/>
      <c r="P5" s="877"/>
      <c r="Q5" s="878"/>
      <c r="R5" s="879" t="s">
        <v>37</v>
      </c>
      <c r="S5" s="860" t="s">
        <v>38</v>
      </c>
      <c r="T5" s="851" t="s">
        <v>21</v>
      </c>
      <c r="U5" s="852"/>
      <c r="V5" s="852"/>
      <c r="W5" s="853"/>
      <c r="X5" s="854" t="s">
        <v>37</v>
      </c>
      <c r="Y5" s="860" t="s">
        <v>38</v>
      </c>
      <c r="Z5" s="851" t="s">
        <v>21</v>
      </c>
      <c r="AA5" s="852"/>
      <c r="AB5" s="852"/>
      <c r="AC5" s="853"/>
      <c r="AD5" s="854" t="s">
        <v>37</v>
      </c>
      <c r="AE5" s="866"/>
      <c r="AF5" s="859"/>
      <c r="AG5" s="866"/>
      <c r="AH5" s="867"/>
      <c r="AI5" s="152"/>
      <c r="AJ5" s="153"/>
    </row>
    <row r="6" spans="1:36" s="151" customFormat="1" ht="76.5">
      <c r="A6" s="859"/>
      <c r="B6" s="860"/>
      <c r="C6" s="861"/>
      <c r="D6" s="154" t="s">
        <v>17</v>
      </c>
      <c r="E6" s="154" t="s">
        <v>18</v>
      </c>
      <c r="F6" s="154" t="s">
        <v>19</v>
      </c>
      <c r="G6" s="860"/>
      <c r="H6" s="149" t="s">
        <v>39</v>
      </c>
      <c r="I6" s="149" t="s">
        <v>40</v>
      </c>
      <c r="J6" s="149" t="s">
        <v>41</v>
      </c>
      <c r="K6" s="149" t="s">
        <v>42</v>
      </c>
      <c r="L6" s="855"/>
      <c r="M6" s="875"/>
      <c r="N6" s="729" t="s">
        <v>39</v>
      </c>
      <c r="O6" s="729" t="s">
        <v>40</v>
      </c>
      <c r="P6" s="729" t="s">
        <v>41</v>
      </c>
      <c r="Q6" s="729" t="s">
        <v>42</v>
      </c>
      <c r="R6" s="880"/>
      <c r="S6" s="860"/>
      <c r="T6" s="149" t="s">
        <v>39</v>
      </c>
      <c r="U6" s="149" t="s">
        <v>40</v>
      </c>
      <c r="V6" s="149" t="s">
        <v>41</v>
      </c>
      <c r="W6" s="149" t="s">
        <v>42</v>
      </c>
      <c r="X6" s="855"/>
      <c r="Y6" s="860"/>
      <c r="Z6" s="149" t="s">
        <v>39</v>
      </c>
      <c r="AA6" s="149" t="s">
        <v>40</v>
      </c>
      <c r="AB6" s="149" t="s">
        <v>41</v>
      </c>
      <c r="AC6" s="149" t="s">
        <v>42</v>
      </c>
      <c r="AD6" s="855"/>
      <c r="AE6" s="866"/>
      <c r="AF6" s="859"/>
      <c r="AG6" s="866"/>
      <c r="AH6" s="867"/>
      <c r="AI6" s="155"/>
      <c r="AJ6" s="153"/>
    </row>
    <row r="7" spans="1:36" s="148" customFormat="1" ht="17.25" customHeight="1">
      <c r="A7" s="639">
        <v>1</v>
      </c>
      <c r="B7" s="640">
        <v>2</v>
      </c>
      <c r="C7" s="641"/>
      <c r="D7" s="641"/>
      <c r="E7" s="641"/>
      <c r="F7" s="641"/>
      <c r="G7" s="640">
        <v>3</v>
      </c>
      <c r="H7" s="642">
        <v>4</v>
      </c>
      <c r="I7" s="642">
        <v>5</v>
      </c>
      <c r="J7" s="642">
        <v>6</v>
      </c>
      <c r="K7" s="642">
        <v>7</v>
      </c>
      <c r="L7" s="642">
        <v>8</v>
      </c>
      <c r="M7" s="730">
        <v>9</v>
      </c>
      <c r="N7" s="730">
        <v>10</v>
      </c>
      <c r="O7" s="730">
        <v>11</v>
      </c>
      <c r="P7" s="730">
        <v>12</v>
      </c>
      <c r="Q7" s="730">
        <v>13</v>
      </c>
      <c r="R7" s="730">
        <v>14</v>
      </c>
      <c r="S7" s="642">
        <v>9</v>
      </c>
      <c r="T7" s="642">
        <v>10</v>
      </c>
      <c r="U7" s="642">
        <v>11</v>
      </c>
      <c r="V7" s="642">
        <v>12</v>
      </c>
      <c r="W7" s="642">
        <v>13</v>
      </c>
      <c r="X7" s="642">
        <v>14</v>
      </c>
      <c r="Y7" s="642">
        <v>15</v>
      </c>
      <c r="Z7" s="642">
        <v>16</v>
      </c>
      <c r="AA7" s="642">
        <v>17</v>
      </c>
      <c r="AB7" s="642">
        <v>18</v>
      </c>
      <c r="AC7" s="642">
        <v>19</v>
      </c>
      <c r="AD7" s="642">
        <v>20</v>
      </c>
      <c r="AE7" s="640" t="s">
        <v>47</v>
      </c>
      <c r="AF7" s="689">
        <v>22</v>
      </c>
      <c r="AG7" s="640"/>
      <c r="AH7" s="643"/>
      <c r="AI7" s="155"/>
      <c r="AJ7" s="643"/>
    </row>
    <row r="8" spans="1:35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6645.867999999999</v>
      </c>
      <c r="M8" s="731">
        <f>SUM(N8:Q8)</f>
        <v>23.775000000000002</v>
      </c>
      <c r="N8" s="732">
        <v>3.2770000000000006</v>
      </c>
      <c r="O8" s="732">
        <v>13.198</v>
      </c>
      <c r="P8" s="732">
        <v>7.3</v>
      </c>
      <c r="Q8" s="732"/>
      <c r="R8" s="733">
        <v>4468</v>
      </c>
      <c r="S8" s="547">
        <f>SUM(T8:W8)</f>
        <v>3.532</v>
      </c>
      <c r="T8" s="465">
        <v>0</v>
      </c>
      <c r="U8" s="465">
        <f>+AA8-O8</f>
        <v>3.532</v>
      </c>
      <c r="V8" s="465">
        <f>+AB8-P8</f>
        <v>0</v>
      </c>
      <c r="W8" s="465">
        <f>+AC8-Q8</f>
        <v>0</v>
      </c>
      <c r="X8" s="465">
        <f>+AD8-R8</f>
        <v>1267.6499999999996</v>
      </c>
      <c r="Y8" s="547">
        <f>SUM(Z8:AC8)</f>
        <v>27.257</v>
      </c>
      <c r="Z8" s="465">
        <v>3.227</v>
      </c>
      <c r="AA8" s="465">
        <v>16.73</v>
      </c>
      <c r="AB8" s="465">
        <v>7.3</v>
      </c>
      <c r="AC8" s="465"/>
      <c r="AD8" s="616">
        <v>5735.65</v>
      </c>
      <c r="AE8" s="549">
        <f>+Y8/G8</f>
        <v>0.7825724949755958</v>
      </c>
      <c r="AF8" s="688" t="s">
        <v>311</v>
      </c>
      <c r="AG8" s="755">
        <v>4</v>
      </c>
      <c r="AH8" s="646">
        <f>+Y8+AG8</f>
        <v>31.257</v>
      </c>
      <c r="AI8" s="71"/>
    </row>
    <row r="9" spans="1:34" s="727" customFormat="1" ht="24" customHeight="1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0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9955.8</v>
      </c>
      <c r="M9" s="734">
        <f aca="true" t="shared" si="1" ref="M9:M19">SUM(N9:Q9)</f>
        <v>16.039</v>
      </c>
      <c r="N9" s="735">
        <v>6.84</v>
      </c>
      <c r="O9" s="735">
        <v>7.848999999999999</v>
      </c>
      <c r="P9" s="735">
        <v>1.3499999999999999</v>
      </c>
      <c r="Q9" s="735"/>
      <c r="R9" s="736">
        <v>2196.712</v>
      </c>
      <c r="S9" s="648">
        <f aca="true" t="shared" si="2" ref="S9:S19">SUM(T9:W9)</f>
        <v>7.963000000000001</v>
      </c>
      <c r="T9" s="471">
        <f aca="true" t="shared" si="3" ref="T9:T19">+Z9-N9</f>
        <v>2.99</v>
      </c>
      <c r="U9" s="471">
        <f aca="true" t="shared" si="4" ref="U9:U19">+AA9-O9</f>
        <v>2.8210000000000006</v>
      </c>
      <c r="V9" s="471">
        <f aca="true" t="shared" si="5" ref="V9:V19">+AB9-P9</f>
        <v>2.152</v>
      </c>
      <c r="W9" s="471">
        <f aca="true" t="shared" si="6" ref="W9:W19">+AC9-Q9</f>
        <v>0</v>
      </c>
      <c r="X9" s="471">
        <f aca="true" t="shared" si="7" ref="X9:X19">+AD9-R9</f>
        <v>1355.288</v>
      </c>
      <c r="Y9" s="648">
        <f aca="true" t="shared" si="8" ref="Y9:Y19">SUM(Z9:AC9)</f>
        <v>24.002</v>
      </c>
      <c r="Z9" s="342">
        <v>9.83</v>
      </c>
      <c r="AA9" s="690">
        <v>10.67</v>
      </c>
      <c r="AB9" s="342">
        <v>3.502</v>
      </c>
      <c r="AC9" s="342"/>
      <c r="AD9" s="647">
        <v>3552</v>
      </c>
      <c r="AE9" s="604">
        <f aca="true" t="shared" si="9" ref="AE9:AE18">+Y9/G9</f>
        <v>0.41569822823394936</v>
      </c>
      <c r="AF9" s="645" t="s">
        <v>314</v>
      </c>
      <c r="AG9" s="756"/>
      <c r="AH9" s="646">
        <f aca="true" t="shared" si="10" ref="AH9:AH19">+Y9+AG9</f>
        <v>24.002</v>
      </c>
    </row>
    <row r="10" spans="1:37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0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737">
        <f t="shared" si="1"/>
        <v>10.58</v>
      </c>
      <c r="N10" s="738">
        <v>1.69</v>
      </c>
      <c r="O10" s="738">
        <v>4.55</v>
      </c>
      <c r="P10" s="738">
        <v>4.34</v>
      </c>
      <c r="Q10" s="738"/>
      <c r="R10" s="739">
        <v>1630</v>
      </c>
      <c r="S10" s="603">
        <f t="shared" si="2"/>
        <v>15.540000000000003</v>
      </c>
      <c r="T10" s="471">
        <f t="shared" si="3"/>
        <v>2.73</v>
      </c>
      <c r="U10" s="471">
        <f t="shared" si="4"/>
        <v>8.690000000000001</v>
      </c>
      <c r="V10" s="471">
        <f t="shared" si="5"/>
        <v>4.120000000000001</v>
      </c>
      <c r="W10" s="471">
        <f t="shared" si="6"/>
        <v>0</v>
      </c>
      <c r="X10" s="471">
        <f t="shared" si="7"/>
        <v>2599</v>
      </c>
      <c r="Y10" s="603">
        <f>SUM(Z10:AC10)</f>
        <v>26.12</v>
      </c>
      <c r="Z10" s="471">
        <v>4.42</v>
      </c>
      <c r="AA10" s="471">
        <v>13.24</v>
      </c>
      <c r="AB10" s="471">
        <v>8.46</v>
      </c>
      <c r="AC10" s="471"/>
      <c r="AD10" s="618">
        <v>4229</v>
      </c>
      <c r="AE10" s="604">
        <f t="shared" si="9"/>
        <v>0.6074418604651163</v>
      </c>
      <c r="AF10" s="473"/>
      <c r="AG10" s="756"/>
      <c r="AH10" s="646">
        <f t="shared" si="10"/>
        <v>26.12</v>
      </c>
      <c r="AK10" s="77"/>
    </row>
    <row r="11" spans="1:34" s="728" customFormat="1" ht="23.25" customHeight="1">
      <c r="A11" s="267">
        <v>4</v>
      </c>
      <c r="B11" s="475" t="s">
        <v>6</v>
      </c>
      <c r="C11" s="348">
        <f>+D11+E11+F11</f>
        <v>60</v>
      </c>
      <c r="D11" s="342">
        <v>17</v>
      </c>
      <c r="E11" s="342">
        <v>18</v>
      </c>
      <c r="F11" s="342">
        <v>25</v>
      </c>
      <c r="G11" s="558">
        <f t="shared" si="0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740">
        <f t="shared" si="1"/>
        <v>14.520000000000001</v>
      </c>
      <c r="N11" s="741">
        <v>3.1</v>
      </c>
      <c r="O11" s="741">
        <v>4.7</v>
      </c>
      <c r="P11" s="741">
        <v>6.720000000000001</v>
      </c>
      <c r="Q11" s="741"/>
      <c r="R11" s="742">
        <v>543</v>
      </c>
      <c r="S11" s="605">
        <f t="shared" si="2"/>
        <v>10.909999999999998</v>
      </c>
      <c r="T11" s="471">
        <f t="shared" si="3"/>
        <v>9.17</v>
      </c>
      <c r="U11" s="471">
        <f t="shared" si="4"/>
        <v>0.1200000000000001</v>
      </c>
      <c r="V11" s="471">
        <f t="shared" si="5"/>
        <v>1.6199999999999992</v>
      </c>
      <c r="W11" s="471">
        <f t="shared" si="6"/>
        <v>0</v>
      </c>
      <c r="X11" s="471">
        <f t="shared" si="7"/>
        <v>558</v>
      </c>
      <c r="Y11" s="605">
        <f t="shared" si="8"/>
        <v>25.43</v>
      </c>
      <c r="Z11" s="506">
        <v>12.27</v>
      </c>
      <c r="AA11" s="475">
        <v>4.82</v>
      </c>
      <c r="AB11" s="475">
        <v>8.34</v>
      </c>
      <c r="AC11" s="475"/>
      <c r="AD11" s="619">
        <v>1101</v>
      </c>
      <c r="AE11" s="563">
        <f t="shared" si="9"/>
        <v>0.42383333333333334</v>
      </c>
      <c r="AF11" s="645" t="s">
        <v>310</v>
      </c>
      <c r="AG11" s="757">
        <v>4.5</v>
      </c>
      <c r="AH11" s="646">
        <f t="shared" si="10"/>
        <v>29.93</v>
      </c>
    </row>
    <row r="12" spans="1:34" s="728" customFormat="1" ht="24.75" customHeight="1">
      <c r="A12" s="267">
        <v>5</v>
      </c>
      <c r="B12" s="475" t="s">
        <v>7</v>
      </c>
      <c r="C12" s="348">
        <v>83.4</v>
      </c>
      <c r="D12" s="342">
        <v>28.9</v>
      </c>
      <c r="E12" s="342">
        <v>45.8</v>
      </c>
      <c r="F12" s="342">
        <v>8.7</v>
      </c>
      <c r="G12" s="558">
        <f t="shared" si="0"/>
        <v>84.369</v>
      </c>
      <c r="H12" s="558">
        <v>20.07</v>
      </c>
      <c r="I12" s="558">
        <v>54.049</v>
      </c>
      <c r="J12" s="558">
        <v>7.12</v>
      </c>
      <c r="K12" s="531">
        <v>3.13</v>
      </c>
      <c r="L12" s="629">
        <v>11267.87</v>
      </c>
      <c r="M12" s="740">
        <f t="shared" si="1"/>
        <v>38.15</v>
      </c>
      <c r="N12" s="741">
        <v>11.55</v>
      </c>
      <c r="O12" s="741">
        <v>23.8</v>
      </c>
      <c r="P12" s="741">
        <v>2.3</v>
      </c>
      <c r="Q12" s="741">
        <v>0.5</v>
      </c>
      <c r="R12" s="742">
        <v>5973</v>
      </c>
      <c r="S12" s="605">
        <f t="shared" si="2"/>
        <v>23.930000000000003</v>
      </c>
      <c r="T12" s="471">
        <f t="shared" si="3"/>
        <v>2.25</v>
      </c>
      <c r="U12" s="471">
        <f t="shared" si="4"/>
        <v>16.8</v>
      </c>
      <c r="V12" s="471">
        <f t="shared" si="5"/>
        <v>4.08</v>
      </c>
      <c r="W12" s="471">
        <f t="shared" si="6"/>
        <v>0.8</v>
      </c>
      <c r="X12" s="471">
        <f t="shared" si="7"/>
        <v>2831.3999999999996</v>
      </c>
      <c r="Y12" s="605">
        <f t="shared" si="8"/>
        <v>62.080000000000005</v>
      </c>
      <c r="Z12" s="475">
        <v>13.8</v>
      </c>
      <c r="AA12" s="475">
        <v>40.6</v>
      </c>
      <c r="AB12" s="475">
        <v>6.38</v>
      </c>
      <c r="AC12" s="475">
        <v>1.3</v>
      </c>
      <c r="AD12" s="619">
        <v>8804.4</v>
      </c>
      <c r="AE12" s="563">
        <f t="shared" si="9"/>
        <v>0.7358152876056372</v>
      </c>
      <c r="AF12" s="476" t="s">
        <v>309</v>
      </c>
      <c r="AG12" s="757"/>
      <c r="AH12" s="646">
        <f t="shared" si="10"/>
        <v>62.080000000000005</v>
      </c>
    </row>
    <row r="13" spans="1:34" s="728" customFormat="1" ht="21.75" customHeight="1">
      <c r="A13" s="267">
        <v>6</v>
      </c>
      <c r="B13" s="475" t="s">
        <v>8</v>
      </c>
      <c r="C13" s="348">
        <v>110.5</v>
      </c>
      <c r="D13" s="342">
        <v>52.1</v>
      </c>
      <c r="E13" s="342">
        <v>26.1</v>
      </c>
      <c r="F13" s="342">
        <v>32.3</v>
      </c>
      <c r="G13" s="558">
        <f t="shared" si="0"/>
        <v>88.69</v>
      </c>
      <c r="H13" s="558">
        <v>15.02</v>
      </c>
      <c r="I13" s="558">
        <v>43.97</v>
      </c>
      <c r="J13" s="558">
        <v>29.7</v>
      </c>
      <c r="K13" s="531"/>
      <c r="L13" s="629">
        <v>11441.72</v>
      </c>
      <c r="M13" s="740">
        <f t="shared" si="1"/>
        <v>33.44</v>
      </c>
      <c r="N13" s="741">
        <v>1.346</v>
      </c>
      <c r="O13" s="741">
        <v>17.874</v>
      </c>
      <c r="P13" s="741">
        <v>14.22</v>
      </c>
      <c r="Q13" s="741"/>
      <c r="R13" s="742">
        <v>4077</v>
      </c>
      <c r="S13" s="605">
        <f t="shared" si="2"/>
        <v>9.19</v>
      </c>
      <c r="T13" s="471">
        <f t="shared" si="3"/>
        <v>2.404</v>
      </c>
      <c r="U13" s="471">
        <f t="shared" si="4"/>
        <v>4.356000000000002</v>
      </c>
      <c r="V13" s="471">
        <f t="shared" si="5"/>
        <v>2.429999999999998</v>
      </c>
      <c r="W13" s="471">
        <f t="shared" si="6"/>
        <v>0</v>
      </c>
      <c r="X13" s="471">
        <f t="shared" si="7"/>
        <v>1262</v>
      </c>
      <c r="Y13" s="605">
        <f t="shared" si="8"/>
        <v>42.629999999999995</v>
      </c>
      <c r="Z13" s="475">
        <v>3.75</v>
      </c>
      <c r="AA13" s="475">
        <v>22.23</v>
      </c>
      <c r="AB13" s="475">
        <v>16.65</v>
      </c>
      <c r="AC13" s="475"/>
      <c r="AD13" s="619">
        <v>5339</v>
      </c>
      <c r="AE13" s="563">
        <f t="shared" si="9"/>
        <v>0.4806629834254143</v>
      </c>
      <c r="AF13" s="476"/>
      <c r="AG13" s="757"/>
      <c r="AH13" s="646">
        <f t="shared" si="10"/>
        <v>42.629999999999995</v>
      </c>
    </row>
    <row r="14" spans="1:34" s="727" customFormat="1" ht="21.75" customHeight="1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0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737">
        <f t="shared" si="1"/>
        <v>31.63</v>
      </c>
      <c r="N14" s="738">
        <v>2</v>
      </c>
      <c r="O14" s="738">
        <v>19.38</v>
      </c>
      <c r="P14" s="738">
        <v>10.25</v>
      </c>
      <c r="Q14" s="738"/>
      <c r="R14" s="739">
        <v>2986</v>
      </c>
      <c r="S14" s="603">
        <f t="shared" si="2"/>
        <v>29.23</v>
      </c>
      <c r="T14" s="471">
        <f t="shared" si="3"/>
        <v>6.82</v>
      </c>
      <c r="U14" s="471">
        <f t="shared" si="4"/>
        <v>9.440000000000001</v>
      </c>
      <c r="V14" s="471">
        <f t="shared" si="5"/>
        <v>12.969999999999999</v>
      </c>
      <c r="W14" s="471">
        <f t="shared" si="6"/>
        <v>0</v>
      </c>
      <c r="X14" s="471">
        <f t="shared" si="7"/>
        <v>3666.95</v>
      </c>
      <c r="Y14" s="603">
        <f t="shared" si="8"/>
        <v>60.86</v>
      </c>
      <c r="Z14" s="471">
        <v>8.82</v>
      </c>
      <c r="AA14" s="471">
        <v>28.82</v>
      </c>
      <c r="AB14" s="471">
        <v>23.22</v>
      </c>
      <c r="AC14" s="471"/>
      <c r="AD14" s="618">
        <v>6652.95</v>
      </c>
      <c r="AE14" s="604">
        <f t="shared" si="9"/>
        <v>0.45649564956495653</v>
      </c>
      <c r="AF14" s="473" t="s">
        <v>321</v>
      </c>
      <c r="AG14" s="756">
        <v>2.2</v>
      </c>
      <c r="AH14" s="646">
        <f t="shared" si="10"/>
        <v>63.06</v>
      </c>
    </row>
    <row r="15" spans="1:34" ht="21.75" customHeight="1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0"/>
        <v>94</v>
      </c>
      <c r="H15" s="558">
        <v>28.09</v>
      </c>
      <c r="I15" s="558">
        <v>48.3</v>
      </c>
      <c r="J15" s="558">
        <v>17.61</v>
      </c>
      <c r="K15" s="531"/>
      <c r="L15" s="629">
        <v>12917.85</v>
      </c>
      <c r="M15" s="603">
        <f t="shared" si="1"/>
        <v>37.07</v>
      </c>
      <c r="N15" s="471">
        <v>7.890000000000001</v>
      </c>
      <c r="O15" s="471">
        <v>24.28</v>
      </c>
      <c r="P15" s="471">
        <v>4.9</v>
      </c>
      <c r="Q15" s="471"/>
      <c r="R15" s="618">
        <v>5043</v>
      </c>
      <c r="S15" s="603">
        <f t="shared" si="2"/>
        <v>13.249999999999996</v>
      </c>
      <c r="T15" s="471">
        <f t="shared" si="3"/>
        <v>0.5</v>
      </c>
      <c r="U15" s="471">
        <f t="shared" si="4"/>
        <v>11.049999999999997</v>
      </c>
      <c r="V15" s="471">
        <f t="shared" si="5"/>
        <v>1.6999999999999993</v>
      </c>
      <c r="W15" s="471">
        <f t="shared" si="6"/>
        <v>0</v>
      </c>
      <c r="X15" s="471">
        <f t="shared" si="7"/>
        <v>2106.6000000000004</v>
      </c>
      <c r="Y15" s="603">
        <f t="shared" si="8"/>
        <v>50.32</v>
      </c>
      <c r="Z15" s="471">
        <v>8.39</v>
      </c>
      <c r="AA15" s="471">
        <v>35.33</v>
      </c>
      <c r="AB15" s="471">
        <v>6.6</v>
      </c>
      <c r="AC15" s="471"/>
      <c r="AD15" s="618">
        <v>7149.6</v>
      </c>
      <c r="AE15" s="604">
        <f t="shared" si="9"/>
        <v>0.5353191489361702</v>
      </c>
      <c r="AF15" s="476" t="s">
        <v>312</v>
      </c>
      <c r="AG15" s="756">
        <v>26.6</v>
      </c>
      <c r="AH15" s="646">
        <f t="shared" si="10"/>
        <v>76.92</v>
      </c>
    </row>
    <row r="16" spans="1:34" s="727" customFormat="1" ht="21.75" customHeight="1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0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737">
        <f t="shared" si="1"/>
        <v>0.95</v>
      </c>
      <c r="N16" s="738">
        <v>0.95</v>
      </c>
      <c r="O16" s="738">
        <v>0</v>
      </c>
      <c r="P16" s="738">
        <v>0</v>
      </c>
      <c r="Q16" s="738"/>
      <c r="R16" s="739">
        <v>263.3</v>
      </c>
      <c r="S16" s="603">
        <f t="shared" si="2"/>
        <v>7.38</v>
      </c>
      <c r="T16" s="471">
        <f t="shared" si="3"/>
        <v>1.4200000000000002</v>
      </c>
      <c r="U16" s="471">
        <f t="shared" si="4"/>
        <v>5.26</v>
      </c>
      <c r="V16" s="471">
        <f t="shared" si="5"/>
        <v>0.7</v>
      </c>
      <c r="W16" s="471">
        <f t="shared" si="6"/>
        <v>0</v>
      </c>
      <c r="X16" s="471">
        <f t="shared" si="7"/>
        <v>1048.9</v>
      </c>
      <c r="Y16" s="603">
        <f t="shared" si="8"/>
        <v>8.33</v>
      </c>
      <c r="Z16" s="471">
        <v>2.37</v>
      </c>
      <c r="AA16" s="471">
        <v>5.26</v>
      </c>
      <c r="AB16" s="471">
        <v>0.7</v>
      </c>
      <c r="AC16" s="471"/>
      <c r="AD16" s="618">
        <v>1312.2</v>
      </c>
      <c r="AE16" s="604">
        <f t="shared" si="9"/>
        <v>0.21602697095435683</v>
      </c>
      <c r="AF16" s="476" t="s">
        <v>320</v>
      </c>
      <c r="AG16" s="756">
        <v>1.3</v>
      </c>
      <c r="AH16" s="646">
        <f t="shared" si="10"/>
        <v>9.63</v>
      </c>
    </row>
    <row r="17" spans="1:34" s="727" customFormat="1" ht="19.5" customHeight="1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0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14117.22</v>
      </c>
      <c r="M17" s="737">
        <f t="shared" si="1"/>
        <v>20.6</v>
      </c>
      <c r="N17" s="738">
        <v>8.21</v>
      </c>
      <c r="O17" s="738">
        <v>12.39</v>
      </c>
      <c r="P17" s="738">
        <v>0</v>
      </c>
      <c r="Q17" s="738"/>
      <c r="R17" s="739">
        <v>3037.3</v>
      </c>
      <c r="S17" s="603">
        <f t="shared" si="2"/>
        <v>23.709999999999997</v>
      </c>
      <c r="T17" s="471">
        <f t="shared" si="3"/>
        <v>12.169999999999998</v>
      </c>
      <c r="U17" s="471">
        <f t="shared" si="4"/>
        <v>10.54</v>
      </c>
      <c r="V17" s="471">
        <f t="shared" si="5"/>
        <v>1</v>
      </c>
      <c r="W17" s="471">
        <f t="shared" si="6"/>
        <v>0</v>
      </c>
      <c r="X17" s="471">
        <f t="shared" si="7"/>
        <v>4291.2</v>
      </c>
      <c r="Y17" s="603">
        <f t="shared" si="8"/>
        <v>44.31</v>
      </c>
      <c r="Z17" s="471">
        <v>20.38</v>
      </c>
      <c r="AA17" s="471">
        <v>22.93</v>
      </c>
      <c r="AB17" s="471">
        <v>1</v>
      </c>
      <c r="AC17" s="471"/>
      <c r="AD17" s="618">
        <v>7328.5</v>
      </c>
      <c r="AE17" s="563">
        <f t="shared" si="9"/>
        <v>0.4813165326960679</v>
      </c>
      <c r="AF17" s="476" t="s">
        <v>319</v>
      </c>
      <c r="AG17" s="757">
        <v>12</v>
      </c>
      <c r="AH17" s="646">
        <f t="shared" si="10"/>
        <v>56.31</v>
      </c>
    </row>
    <row r="18" spans="1:34" s="727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0"/>
        <v>2.6</v>
      </c>
      <c r="H18" s="607">
        <v>1</v>
      </c>
      <c r="I18" s="607"/>
      <c r="J18" s="607">
        <v>1.6</v>
      </c>
      <c r="K18" s="531"/>
      <c r="L18" s="629">
        <v>438</v>
      </c>
      <c r="M18" s="743">
        <f t="shared" si="1"/>
        <v>1.4180000000000001</v>
      </c>
      <c r="N18" s="744">
        <v>0.65</v>
      </c>
      <c r="O18" s="745">
        <v>0</v>
      </c>
      <c r="P18" s="744">
        <v>0.768</v>
      </c>
      <c r="Q18" s="745"/>
      <c r="R18" s="739">
        <v>35</v>
      </c>
      <c r="S18" s="608">
        <f t="shared" si="2"/>
        <v>0.030000000000000027</v>
      </c>
      <c r="T18" s="471">
        <f t="shared" si="3"/>
        <v>0.030000000000000027</v>
      </c>
      <c r="U18" s="471">
        <f t="shared" si="4"/>
        <v>0</v>
      </c>
      <c r="V18" s="471">
        <f t="shared" si="5"/>
        <v>0</v>
      </c>
      <c r="W18" s="471">
        <f t="shared" si="6"/>
        <v>0</v>
      </c>
      <c r="X18" s="471">
        <f t="shared" si="7"/>
        <v>31</v>
      </c>
      <c r="Y18" s="608">
        <f t="shared" si="8"/>
        <v>1.448</v>
      </c>
      <c r="Z18" s="607">
        <f>0.43+0.22+0.03</f>
        <v>0.68</v>
      </c>
      <c r="AA18" s="623">
        <f>+TXHL!U8</f>
        <v>0</v>
      </c>
      <c r="AB18" s="607">
        <f>+TXHL!V8</f>
        <v>0.768</v>
      </c>
      <c r="AC18" s="623"/>
      <c r="AD18" s="618">
        <f>+TXHL!X8+31</f>
        <v>66</v>
      </c>
      <c r="AE18" s="563">
        <f t="shared" si="9"/>
        <v>0.5569230769230769</v>
      </c>
      <c r="AF18" s="476" t="s">
        <v>322</v>
      </c>
      <c r="AG18" s="757">
        <v>2</v>
      </c>
      <c r="AH18" s="646">
        <f t="shared" si="10"/>
        <v>3.448</v>
      </c>
    </row>
    <row r="19" spans="1:34" s="727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0"/>
        <v>18</v>
      </c>
      <c r="H19" s="650">
        <v>4</v>
      </c>
      <c r="I19" s="650">
        <v>4.4</v>
      </c>
      <c r="J19" s="650">
        <v>9.6</v>
      </c>
      <c r="K19" s="651"/>
      <c r="L19" s="630">
        <v>2384</v>
      </c>
      <c r="M19" s="746">
        <f t="shared" si="1"/>
        <v>5.699999999999999</v>
      </c>
      <c r="N19" s="747">
        <v>1.7</v>
      </c>
      <c r="O19" s="747">
        <v>0.2</v>
      </c>
      <c r="P19" s="747">
        <v>3.8</v>
      </c>
      <c r="Q19" s="748"/>
      <c r="R19" s="749">
        <v>640</v>
      </c>
      <c r="S19" s="584">
        <f t="shared" si="2"/>
        <v>2.3000000000000003</v>
      </c>
      <c r="T19" s="493">
        <f t="shared" si="3"/>
        <v>0.19999999999999996</v>
      </c>
      <c r="U19" s="493">
        <f t="shared" si="4"/>
        <v>0.2</v>
      </c>
      <c r="V19" s="493">
        <f t="shared" si="5"/>
        <v>1.9000000000000004</v>
      </c>
      <c r="W19" s="493">
        <f t="shared" si="6"/>
        <v>0</v>
      </c>
      <c r="X19" s="493">
        <f t="shared" si="7"/>
        <v>243</v>
      </c>
      <c r="Y19" s="584">
        <f t="shared" si="8"/>
        <v>8</v>
      </c>
      <c r="Z19" s="585">
        <v>1.9</v>
      </c>
      <c r="AA19" s="585">
        <v>0.4</v>
      </c>
      <c r="AB19" s="585">
        <v>5.7</v>
      </c>
      <c r="AC19" s="624"/>
      <c r="AD19" s="621">
        <v>883</v>
      </c>
      <c r="AE19" s="610">
        <f>+Y19/G19</f>
        <v>0.4444444444444444</v>
      </c>
      <c r="AF19" s="587"/>
      <c r="AG19" s="758"/>
      <c r="AH19" s="646">
        <f t="shared" si="10"/>
        <v>8</v>
      </c>
    </row>
    <row r="20" spans="1:34" ht="21.75" customHeight="1">
      <c r="A20" s="870" t="s">
        <v>23</v>
      </c>
      <c r="B20" s="871"/>
      <c r="C20" s="478">
        <f aca="true" t="shared" si="11" ref="C20:Q20">+SUM(C8:C19)</f>
        <v>976.8000000000001</v>
      </c>
      <c r="D20" s="479">
        <f t="shared" si="11"/>
        <v>369.9</v>
      </c>
      <c r="E20" s="479">
        <f t="shared" si="11"/>
        <v>358.7</v>
      </c>
      <c r="F20" s="479">
        <f t="shared" si="11"/>
        <v>248.19999999999996</v>
      </c>
      <c r="G20" s="359">
        <f t="shared" si="11"/>
        <v>747.168</v>
      </c>
      <c r="H20" s="652">
        <f t="shared" si="11"/>
        <v>231.515</v>
      </c>
      <c r="I20" s="652">
        <f t="shared" si="11"/>
        <v>317.46799999999996</v>
      </c>
      <c r="J20" s="652">
        <f t="shared" si="11"/>
        <v>195.055</v>
      </c>
      <c r="K20" s="652">
        <f>+SUM(K8:K19)</f>
        <v>3.13</v>
      </c>
      <c r="L20" s="653">
        <f t="shared" si="11"/>
        <v>108098.62800000001</v>
      </c>
      <c r="M20" s="750">
        <f t="shared" si="11"/>
        <v>233.87199999999996</v>
      </c>
      <c r="N20" s="751">
        <f t="shared" si="11"/>
        <v>49.203</v>
      </c>
      <c r="O20" s="751">
        <f t="shared" si="11"/>
        <v>128.221</v>
      </c>
      <c r="P20" s="752">
        <f t="shared" si="11"/>
        <v>55.948</v>
      </c>
      <c r="Q20" s="752">
        <f t="shared" si="11"/>
        <v>0.5</v>
      </c>
      <c r="R20" s="753">
        <f aca="true" t="shared" si="12" ref="R20:AD20">+SUM(R8:R19)</f>
        <v>30892.311999999998</v>
      </c>
      <c r="S20" s="483">
        <f aca="true" t="shared" si="13" ref="S20:X20">+SUM(S8:S19)</f>
        <v>146.965</v>
      </c>
      <c r="T20" s="480">
        <f t="shared" si="13"/>
        <v>40.684000000000005</v>
      </c>
      <c r="U20" s="480">
        <f t="shared" si="13"/>
        <v>72.809</v>
      </c>
      <c r="V20" s="481">
        <f t="shared" si="13"/>
        <v>32.672</v>
      </c>
      <c r="W20" s="481">
        <f t="shared" si="13"/>
        <v>0.8</v>
      </c>
      <c r="X20" s="654">
        <f t="shared" si="13"/>
        <v>21260.988</v>
      </c>
      <c r="Y20" s="481">
        <f t="shared" si="12"/>
        <v>380.787</v>
      </c>
      <c r="Z20" s="480">
        <f t="shared" si="12"/>
        <v>89.83700000000002</v>
      </c>
      <c r="AA20" s="481">
        <f t="shared" si="12"/>
        <v>201.03</v>
      </c>
      <c r="AB20" s="481">
        <f t="shared" si="12"/>
        <v>88.62</v>
      </c>
      <c r="AC20" s="481">
        <f t="shared" si="12"/>
        <v>1.3</v>
      </c>
      <c r="AD20" s="654">
        <f t="shared" si="12"/>
        <v>52153.299999999996</v>
      </c>
      <c r="AE20" s="655">
        <f>+Y20/G20</f>
        <v>0.5096404021585507</v>
      </c>
      <c r="AF20" s="486"/>
      <c r="AG20" s="759">
        <f>+SUM(AG8:AG19)</f>
        <v>52.599999999999994</v>
      </c>
      <c r="AH20" s="656">
        <f>SUM(AH8:AH19)</f>
        <v>433.387</v>
      </c>
    </row>
    <row r="21" spans="2:34" ht="30" customHeight="1">
      <c r="B21" s="864" t="s">
        <v>48</v>
      </c>
      <c r="C21" s="865"/>
      <c r="D21" s="865"/>
      <c r="E21" s="865"/>
      <c r="F21" s="865"/>
      <c r="G21" s="865"/>
      <c r="H21" s="865"/>
      <c r="I21" s="865"/>
      <c r="J21" s="865"/>
      <c r="K21" s="865"/>
      <c r="L21" s="865"/>
      <c r="M21" s="865"/>
      <c r="N21" s="865"/>
      <c r="O21" s="865"/>
      <c r="P21" s="865"/>
      <c r="Q21" s="865"/>
      <c r="R21" s="865"/>
      <c r="S21" s="865"/>
      <c r="T21" s="865"/>
      <c r="U21" s="865"/>
      <c r="V21" s="865"/>
      <c r="W21" s="865"/>
      <c r="X21" s="865"/>
      <c r="Y21" s="865"/>
      <c r="Z21" s="865"/>
      <c r="AA21" s="865"/>
      <c r="AB21" s="865"/>
      <c r="AC21" s="865"/>
      <c r="AD21" s="865"/>
      <c r="AE21" s="865"/>
      <c r="AF21" s="865"/>
      <c r="AG21" s="726"/>
      <c r="AH21" s="657"/>
    </row>
    <row r="22" spans="2:31" ht="15">
      <c r="B22" s="162"/>
      <c r="R22" s="164"/>
      <c r="S22" s="754"/>
      <c r="X22" s="164"/>
      <c r="AA22" s="36"/>
      <c r="AD22" s="165"/>
      <c r="AE22" s="166"/>
    </row>
    <row r="23" spans="2:30" ht="15">
      <c r="B23" s="659"/>
      <c r="G23" s="167"/>
      <c r="N23" s="36"/>
      <c r="T23" s="36"/>
      <c r="Y23" s="168"/>
      <c r="AD23" s="169"/>
    </row>
    <row r="47" spans="27:31" ht="15">
      <c r="AA47" s="465">
        <v>3.457</v>
      </c>
      <c r="AB47" s="465">
        <v>14.248</v>
      </c>
      <c r="AC47" s="465">
        <v>7.3</v>
      </c>
      <c r="AD47" s="465"/>
      <c r="AE47" s="616">
        <v>4856</v>
      </c>
    </row>
  </sheetData>
  <sheetProtection/>
  <mergeCells count="30">
    <mergeCell ref="Y5:Y6"/>
    <mergeCell ref="Z5:AC5"/>
    <mergeCell ref="AD5:AD6"/>
    <mergeCell ref="A20:B20"/>
    <mergeCell ref="B21:AF21"/>
    <mergeCell ref="AF4:AF6"/>
    <mergeCell ref="S4:X4"/>
    <mergeCell ref="S5:S6"/>
    <mergeCell ref="T5:W5"/>
    <mergeCell ref="X5:X6"/>
    <mergeCell ref="AH4:AH6"/>
    <mergeCell ref="C5:C6"/>
    <mergeCell ref="D5:F5"/>
    <mergeCell ref="G5:G6"/>
    <mergeCell ref="H5:K5"/>
    <mergeCell ref="L5:L6"/>
    <mergeCell ref="M5:M6"/>
    <mergeCell ref="N5:Q5"/>
    <mergeCell ref="R5:R6"/>
    <mergeCell ref="AG4:AG6"/>
    <mergeCell ref="A1:AF1"/>
    <mergeCell ref="A2:AF2"/>
    <mergeCell ref="A3:AF3"/>
    <mergeCell ref="A4:A6"/>
    <mergeCell ref="B4:B6"/>
    <mergeCell ref="C4:F4"/>
    <mergeCell ref="G4:L4"/>
    <mergeCell ref="M4:R4"/>
    <mergeCell ref="Y4:AD4"/>
    <mergeCell ref="AE4:AE6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K47"/>
  <sheetViews>
    <sheetView view="pageLayout" workbookViewId="0" topLeftCell="A7">
      <selection activeCell="AC19" sqref="AC19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hidden="1" customWidth="1"/>
    <col min="14" max="18" width="6.625" style="26" hidden="1" customWidth="1"/>
    <col min="19" max="19" width="6.625" style="163" hidden="1" customWidth="1"/>
    <col min="20" max="24" width="6.625" style="26" hidden="1" customWidth="1"/>
    <col min="25" max="25" width="6.625" style="163" customWidth="1"/>
    <col min="26" max="30" width="6.625" style="26" customWidth="1"/>
    <col min="31" max="31" width="7.125" style="26" customWidth="1"/>
    <col min="32" max="32" width="45.25390625" style="26" customWidth="1"/>
    <col min="33" max="33" width="5.50390625" style="26" customWidth="1"/>
    <col min="34" max="34" width="13.875" style="649" customWidth="1"/>
    <col min="35" max="35" width="10.625" style="26" customWidth="1"/>
    <col min="36" max="36" width="20.875" style="26" customWidth="1"/>
    <col min="37" max="39" width="9.00390625" style="26" customWidth="1"/>
    <col min="40" max="16384" width="9.00390625" style="26" customWidth="1"/>
  </cols>
  <sheetData>
    <row r="1" spans="1:36" ht="30" customHeight="1">
      <c r="A1" s="856" t="s">
        <v>36</v>
      </c>
      <c r="B1" s="856"/>
      <c r="C1" s="856"/>
      <c r="D1" s="856"/>
      <c r="E1" s="856"/>
      <c r="F1" s="856"/>
      <c r="G1" s="856"/>
      <c r="H1" s="856"/>
      <c r="I1" s="856"/>
      <c r="J1" s="856"/>
      <c r="K1" s="856"/>
      <c r="L1" s="856"/>
      <c r="M1" s="856"/>
      <c r="N1" s="856"/>
      <c r="O1" s="856"/>
      <c r="P1" s="856"/>
      <c r="Q1" s="856"/>
      <c r="R1" s="856"/>
      <c r="S1" s="856"/>
      <c r="T1" s="856"/>
      <c r="U1" s="856"/>
      <c r="V1" s="856"/>
      <c r="W1" s="856"/>
      <c r="X1" s="856"/>
      <c r="Y1" s="856"/>
      <c r="Z1" s="856"/>
      <c r="AA1" s="856"/>
      <c r="AB1" s="856"/>
      <c r="AC1" s="856"/>
      <c r="AD1" s="856"/>
      <c r="AE1" s="856"/>
      <c r="AF1" s="856"/>
      <c r="AG1" s="636"/>
      <c r="AH1" s="636"/>
      <c r="AI1" s="146"/>
      <c r="AJ1" s="146"/>
    </row>
    <row r="2" spans="1:36" s="148" customFormat="1" ht="22.5" customHeight="1">
      <c r="A2" s="857" t="s">
        <v>332</v>
      </c>
      <c r="B2" s="857"/>
      <c r="C2" s="857"/>
      <c r="D2" s="857"/>
      <c r="E2" s="857"/>
      <c r="F2" s="857"/>
      <c r="G2" s="857"/>
      <c r="H2" s="857"/>
      <c r="I2" s="857"/>
      <c r="J2" s="857"/>
      <c r="K2" s="857"/>
      <c r="L2" s="857"/>
      <c r="M2" s="857"/>
      <c r="N2" s="857"/>
      <c r="O2" s="857"/>
      <c r="P2" s="857"/>
      <c r="Q2" s="857"/>
      <c r="R2" s="857"/>
      <c r="S2" s="857"/>
      <c r="T2" s="857"/>
      <c r="U2" s="857"/>
      <c r="V2" s="857"/>
      <c r="W2" s="857"/>
      <c r="X2" s="857"/>
      <c r="Y2" s="857"/>
      <c r="Z2" s="857"/>
      <c r="AA2" s="857"/>
      <c r="AB2" s="857"/>
      <c r="AC2" s="857"/>
      <c r="AD2" s="857"/>
      <c r="AE2" s="857"/>
      <c r="AF2" s="857"/>
      <c r="AG2" s="637"/>
      <c r="AH2" s="637"/>
      <c r="AI2" s="147"/>
      <c r="AJ2" s="147"/>
    </row>
    <row r="3" spans="1:36" s="148" customFormat="1" ht="22.5" customHeight="1">
      <c r="A3" s="858"/>
      <c r="B3" s="858"/>
      <c r="C3" s="858"/>
      <c r="D3" s="858"/>
      <c r="E3" s="858"/>
      <c r="F3" s="858"/>
      <c r="G3" s="858"/>
      <c r="H3" s="858"/>
      <c r="I3" s="858"/>
      <c r="J3" s="858"/>
      <c r="K3" s="858"/>
      <c r="L3" s="858"/>
      <c r="M3" s="858"/>
      <c r="N3" s="858"/>
      <c r="O3" s="858"/>
      <c r="P3" s="858"/>
      <c r="Q3" s="858"/>
      <c r="R3" s="858"/>
      <c r="S3" s="858"/>
      <c r="T3" s="858"/>
      <c r="U3" s="858"/>
      <c r="V3" s="858"/>
      <c r="W3" s="858"/>
      <c r="X3" s="858"/>
      <c r="Y3" s="858"/>
      <c r="Z3" s="858"/>
      <c r="AA3" s="858"/>
      <c r="AB3" s="858"/>
      <c r="AC3" s="858"/>
      <c r="AD3" s="858"/>
      <c r="AE3" s="858"/>
      <c r="AF3" s="858"/>
      <c r="AG3" s="658"/>
      <c r="AH3" s="658"/>
      <c r="AI3" s="147"/>
      <c r="AJ3" s="147"/>
    </row>
    <row r="4" spans="1:35" s="151" customFormat="1" ht="46.5" customHeight="1">
      <c r="A4" s="859" t="s">
        <v>0</v>
      </c>
      <c r="B4" s="860" t="s">
        <v>1</v>
      </c>
      <c r="C4" s="861" t="s">
        <v>25</v>
      </c>
      <c r="D4" s="861"/>
      <c r="E4" s="861"/>
      <c r="F4" s="861"/>
      <c r="G4" s="845" t="s">
        <v>26</v>
      </c>
      <c r="H4" s="846"/>
      <c r="I4" s="846"/>
      <c r="J4" s="846"/>
      <c r="K4" s="846"/>
      <c r="L4" s="847"/>
      <c r="M4" s="872" t="s">
        <v>323</v>
      </c>
      <c r="N4" s="873"/>
      <c r="O4" s="873"/>
      <c r="P4" s="873"/>
      <c r="Q4" s="873"/>
      <c r="R4" s="874"/>
      <c r="S4" s="848" t="s">
        <v>325</v>
      </c>
      <c r="T4" s="849"/>
      <c r="U4" s="849"/>
      <c r="V4" s="849"/>
      <c r="W4" s="849"/>
      <c r="X4" s="850"/>
      <c r="Y4" s="848" t="s">
        <v>307</v>
      </c>
      <c r="Z4" s="849"/>
      <c r="AA4" s="849"/>
      <c r="AB4" s="849"/>
      <c r="AC4" s="849"/>
      <c r="AD4" s="850"/>
      <c r="AE4" s="866" t="s">
        <v>43</v>
      </c>
      <c r="AF4" s="859" t="s">
        <v>14</v>
      </c>
      <c r="AG4" s="866" t="s">
        <v>333</v>
      </c>
      <c r="AH4" s="867" t="s">
        <v>313</v>
      </c>
      <c r="AI4" s="150"/>
    </row>
    <row r="5" spans="1:36" s="151" customFormat="1" ht="14.25" customHeight="1">
      <c r="A5" s="859"/>
      <c r="B5" s="860"/>
      <c r="C5" s="861" t="s">
        <v>20</v>
      </c>
      <c r="D5" s="868" t="s">
        <v>21</v>
      </c>
      <c r="E5" s="868"/>
      <c r="F5" s="868"/>
      <c r="G5" s="860" t="s">
        <v>38</v>
      </c>
      <c r="H5" s="869" t="s">
        <v>21</v>
      </c>
      <c r="I5" s="869"/>
      <c r="J5" s="869"/>
      <c r="K5" s="869"/>
      <c r="L5" s="854" t="s">
        <v>202</v>
      </c>
      <c r="M5" s="875" t="s">
        <v>38</v>
      </c>
      <c r="N5" s="876" t="s">
        <v>21</v>
      </c>
      <c r="O5" s="877"/>
      <c r="P5" s="877"/>
      <c r="Q5" s="878"/>
      <c r="R5" s="879" t="s">
        <v>37</v>
      </c>
      <c r="S5" s="860" t="s">
        <v>38</v>
      </c>
      <c r="T5" s="851" t="s">
        <v>21</v>
      </c>
      <c r="U5" s="852"/>
      <c r="V5" s="852"/>
      <c r="W5" s="853"/>
      <c r="X5" s="854" t="s">
        <v>37</v>
      </c>
      <c r="Y5" s="860" t="s">
        <v>38</v>
      </c>
      <c r="Z5" s="851" t="s">
        <v>21</v>
      </c>
      <c r="AA5" s="852"/>
      <c r="AB5" s="852"/>
      <c r="AC5" s="853"/>
      <c r="AD5" s="854" t="s">
        <v>37</v>
      </c>
      <c r="AE5" s="866"/>
      <c r="AF5" s="859"/>
      <c r="AG5" s="866"/>
      <c r="AH5" s="867"/>
      <c r="AI5" s="152"/>
      <c r="AJ5" s="153"/>
    </row>
    <row r="6" spans="1:36" s="151" customFormat="1" ht="76.5">
      <c r="A6" s="859"/>
      <c r="B6" s="860"/>
      <c r="C6" s="861"/>
      <c r="D6" s="154" t="s">
        <v>17</v>
      </c>
      <c r="E6" s="154" t="s">
        <v>18</v>
      </c>
      <c r="F6" s="154" t="s">
        <v>19</v>
      </c>
      <c r="G6" s="860"/>
      <c r="H6" s="149" t="s">
        <v>39</v>
      </c>
      <c r="I6" s="149" t="s">
        <v>40</v>
      </c>
      <c r="J6" s="149" t="s">
        <v>41</v>
      </c>
      <c r="K6" s="149" t="s">
        <v>42</v>
      </c>
      <c r="L6" s="855"/>
      <c r="M6" s="875"/>
      <c r="N6" s="729" t="s">
        <v>39</v>
      </c>
      <c r="O6" s="729" t="s">
        <v>40</v>
      </c>
      <c r="P6" s="729" t="s">
        <v>41</v>
      </c>
      <c r="Q6" s="729" t="s">
        <v>42</v>
      </c>
      <c r="R6" s="880"/>
      <c r="S6" s="860"/>
      <c r="T6" s="149" t="s">
        <v>39</v>
      </c>
      <c r="U6" s="149" t="s">
        <v>40</v>
      </c>
      <c r="V6" s="149" t="s">
        <v>41</v>
      </c>
      <c r="W6" s="149" t="s">
        <v>42</v>
      </c>
      <c r="X6" s="855"/>
      <c r="Y6" s="860"/>
      <c r="Z6" s="149" t="s">
        <v>39</v>
      </c>
      <c r="AA6" s="149" t="s">
        <v>40</v>
      </c>
      <c r="AB6" s="149" t="s">
        <v>41</v>
      </c>
      <c r="AC6" s="149" t="s">
        <v>42</v>
      </c>
      <c r="AD6" s="855"/>
      <c r="AE6" s="866"/>
      <c r="AF6" s="859"/>
      <c r="AG6" s="866"/>
      <c r="AH6" s="867"/>
      <c r="AI6" s="155"/>
      <c r="AJ6" s="153"/>
    </row>
    <row r="7" spans="1:36" s="148" customFormat="1" ht="17.25" customHeight="1">
      <c r="A7" s="639">
        <v>1</v>
      </c>
      <c r="B7" s="640">
        <v>2</v>
      </c>
      <c r="C7" s="641"/>
      <c r="D7" s="641"/>
      <c r="E7" s="641"/>
      <c r="F7" s="641"/>
      <c r="G7" s="640">
        <v>3</v>
      </c>
      <c r="H7" s="642">
        <v>4</v>
      </c>
      <c r="I7" s="642">
        <v>5</v>
      </c>
      <c r="J7" s="642">
        <v>6</v>
      </c>
      <c r="K7" s="642">
        <v>7</v>
      </c>
      <c r="L7" s="642">
        <v>8</v>
      </c>
      <c r="M7" s="730">
        <v>9</v>
      </c>
      <c r="N7" s="730">
        <v>10</v>
      </c>
      <c r="O7" s="730">
        <v>11</v>
      </c>
      <c r="P7" s="730">
        <v>12</v>
      </c>
      <c r="Q7" s="730">
        <v>13</v>
      </c>
      <c r="R7" s="730">
        <v>14</v>
      </c>
      <c r="S7" s="642">
        <v>9</v>
      </c>
      <c r="T7" s="642">
        <v>10</v>
      </c>
      <c r="U7" s="642">
        <v>11</v>
      </c>
      <c r="V7" s="642">
        <v>12</v>
      </c>
      <c r="W7" s="642">
        <v>13</v>
      </c>
      <c r="X7" s="642">
        <v>14</v>
      </c>
      <c r="Y7" s="642">
        <v>15</v>
      </c>
      <c r="Z7" s="642">
        <v>16</v>
      </c>
      <c r="AA7" s="642">
        <v>17</v>
      </c>
      <c r="AB7" s="642">
        <v>18</v>
      </c>
      <c r="AC7" s="642">
        <v>19</v>
      </c>
      <c r="AD7" s="642">
        <v>20</v>
      </c>
      <c r="AE7" s="640" t="s">
        <v>47</v>
      </c>
      <c r="AF7" s="689">
        <v>22</v>
      </c>
      <c r="AG7" s="640"/>
      <c r="AH7" s="643"/>
      <c r="AI7" s="155"/>
      <c r="AJ7" s="643"/>
    </row>
    <row r="8" spans="1:35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6645.867999999999</v>
      </c>
      <c r="M8" s="731">
        <f>SUM(N8:Q8)</f>
        <v>23.775000000000002</v>
      </c>
      <c r="N8" s="732">
        <v>3.2770000000000006</v>
      </c>
      <c r="O8" s="732">
        <v>13.198</v>
      </c>
      <c r="P8" s="732">
        <v>7.3</v>
      </c>
      <c r="Q8" s="732"/>
      <c r="R8" s="733">
        <v>4468</v>
      </c>
      <c r="S8" s="547">
        <f>SUM(T8:W8)</f>
        <v>3.532</v>
      </c>
      <c r="T8" s="465">
        <v>0</v>
      </c>
      <c r="U8" s="465">
        <f>+AA8-O8</f>
        <v>3.532</v>
      </c>
      <c r="V8" s="465">
        <f>+AB8-P8</f>
        <v>0</v>
      </c>
      <c r="W8" s="465">
        <f>+AC8-Q8</f>
        <v>0</v>
      </c>
      <c r="X8" s="465">
        <f>+AD8-R8</f>
        <v>1267.6499999999996</v>
      </c>
      <c r="Y8" s="547">
        <f>SUM(Z8:AC8)</f>
        <v>27.257</v>
      </c>
      <c r="Z8" s="465">
        <v>3.227</v>
      </c>
      <c r="AA8" s="465">
        <v>16.73</v>
      </c>
      <c r="AB8" s="465">
        <v>7.3</v>
      </c>
      <c r="AC8" s="465"/>
      <c r="AD8" s="616">
        <v>5735.65</v>
      </c>
      <c r="AE8" s="549">
        <f>+Y8/G8</f>
        <v>0.7825724949755958</v>
      </c>
      <c r="AF8" s="688" t="s">
        <v>311</v>
      </c>
      <c r="AG8" s="755">
        <v>4</v>
      </c>
      <c r="AH8" s="646">
        <f>+Y8+AG8</f>
        <v>31.257</v>
      </c>
      <c r="AI8" s="71"/>
    </row>
    <row r="9" spans="1:34" s="727" customFormat="1" ht="24" customHeight="1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0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9955.8</v>
      </c>
      <c r="M9" s="734">
        <f aca="true" t="shared" si="1" ref="M9:M19">SUM(N9:Q9)</f>
        <v>16.039</v>
      </c>
      <c r="N9" s="735">
        <v>6.84</v>
      </c>
      <c r="O9" s="735">
        <v>7.848999999999999</v>
      </c>
      <c r="P9" s="735">
        <v>1.3499999999999999</v>
      </c>
      <c r="Q9" s="735"/>
      <c r="R9" s="736">
        <v>2196.712</v>
      </c>
      <c r="S9" s="648">
        <f aca="true" t="shared" si="2" ref="S9:S19">SUM(T9:W9)</f>
        <v>7.963000000000001</v>
      </c>
      <c r="T9" s="471">
        <f aca="true" t="shared" si="3" ref="T9:X19">+Z9-N9</f>
        <v>2.99</v>
      </c>
      <c r="U9" s="471">
        <f t="shared" si="3"/>
        <v>2.8210000000000006</v>
      </c>
      <c r="V9" s="471">
        <f t="shared" si="3"/>
        <v>2.152</v>
      </c>
      <c r="W9" s="471">
        <f t="shared" si="3"/>
        <v>0</v>
      </c>
      <c r="X9" s="471">
        <f t="shared" si="3"/>
        <v>1355.288</v>
      </c>
      <c r="Y9" s="648">
        <f aca="true" t="shared" si="4" ref="Y9:Y19">SUM(Z9:AC9)</f>
        <v>24.002</v>
      </c>
      <c r="Z9" s="342">
        <v>9.83</v>
      </c>
      <c r="AA9" s="690">
        <v>10.67</v>
      </c>
      <c r="AB9" s="342">
        <v>3.502</v>
      </c>
      <c r="AC9" s="342"/>
      <c r="AD9" s="647">
        <v>3552</v>
      </c>
      <c r="AE9" s="604">
        <f aca="true" t="shared" si="5" ref="AE9:AE18">+Y9/G9</f>
        <v>0.41569822823394936</v>
      </c>
      <c r="AF9" s="645" t="s">
        <v>314</v>
      </c>
      <c r="AG9" s="756"/>
      <c r="AH9" s="646">
        <f aca="true" t="shared" si="6" ref="AH9:AH19">+Y9+AG9</f>
        <v>24.002</v>
      </c>
    </row>
    <row r="10" spans="1:37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0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737">
        <f t="shared" si="1"/>
        <v>10.58</v>
      </c>
      <c r="N10" s="738">
        <v>1.69</v>
      </c>
      <c r="O10" s="738">
        <v>4.55</v>
      </c>
      <c r="P10" s="738">
        <v>4.34</v>
      </c>
      <c r="Q10" s="738"/>
      <c r="R10" s="739">
        <v>1630</v>
      </c>
      <c r="S10" s="603">
        <f t="shared" si="2"/>
        <v>15.540000000000003</v>
      </c>
      <c r="T10" s="471">
        <f t="shared" si="3"/>
        <v>2.73</v>
      </c>
      <c r="U10" s="471">
        <f t="shared" si="3"/>
        <v>8.690000000000001</v>
      </c>
      <c r="V10" s="471">
        <f t="shared" si="3"/>
        <v>4.120000000000001</v>
      </c>
      <c r="W10" s="471">
        <f t="shared" si="3"/>
        <v>0</v>
      </c>
      <c r="X10" s="471">
        <f t="shared" si="3"/>
        <v>2599</v>
      </c>
      <c r="Y10" s="603">
        <f>SUM(Z10:AC10)</f>
        <v>26.12</v>
      </c>
      <c r="Z10" s="471">
        <v>4.42</v>
      </c>
      <c r="AA10" s="471">
        <v>13.24</v>
      </c>
      <c r="AB10" s="471">
        <v>8.46</v>
      </c>
      <c r="AC10" s="471"/>
      <c r="AD10" s="618">
        <v>4229</v>
      </c>
      <c r="AE10" s="604">
        <f t="shared" si="5"/>
        <v>0.6074418604651163</v>
      </c>
      <c r="AF10" s="473"/>
      <c r="AG10" s="756"/>
      <c r="AH10" s="646">
        <f t="shared" si="6"/>
        <v>26.12</v>
      </c>
      <c r="AK10" s="77"/>
    </row>
    <row r="11" spans="1:34" s="728" customFormat="1" ht="23.25" customHeight="1">
      <c r="A11" s="267">
        <v>4</v>
      </c>
      <c r="B11" s="475" t="s">
        <v>6</v>
      </c>
      <c r="C11" s="348">
        <f>+D11+E11+F11</f>
        <v>60</v>
      </c>
      <c r="D11" s="342">
        <v>17</v>
      </c>
      <c r="E11" s="342">
        <v>18</v>
      </c>
      <c r="F11" s="342">
        <v>25</v>
      </c>
      <c r="G11" s="558">
        <f t="shared" si="0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740">
        <f t="shared" si="1"/>
        <v>14.520000000000001</v>
      </c>
      <c r="N11" s="741">
        <v>3.1</v>
      </c>
      <c r="O11" s="741">
        <v>4.7</v>
      </c>
      <c r="P11" s="741">
        <v>6.720000000000001</v>
      </c>
      <c r="Q11" s="741"/>
      <c r="R11" s="742">
        <v>543</v>
      </c>
      <c r="S11" s="605">
        <f t="shared" si="2"/>
        <v>10.909999999999998</v>
      </c>
      <c r="T11" s="471">
        <f t="shared" si="3"/>
        <v>9.17</v>
      </c>
      <c r="U11" s="471">
        <f t="shared" si="3"/>
        <v>0.1200000000000001</v>
      </c>
      <c r="V11" s="471">
        <f t="shared" si="3"/>
        <v>1.6199999999999992</v>
      </c>
      <c r="W11" s="471">
        <f t="shared" si="3"/>
        <v>0</v>
      </c>
      <c r="X11" s="471">
        <f t="shared" si="3"/>
        <v>558</v>
      </c>
      <c r="Y11" s="605">
        <f t="shared" si="4"/>
        <v>25.43</v>
      </c>
      <c r="Z11" s="506">
        <v>12.27</v>
      </c>
      <c r="AA11" s="475">
        <v>4.82</v>
      </c>
      <c r="AB11" s="475">
        <v>8.34</v>
      </c>
      <c r="AC11" s="475"/>
      <c r="AD11" s="619">
        <v>1101</v>
      </c>
      <c r="AE11" s="563">
        <f t="shared" si="5"/>
        <v>0.42383333333333334</v>
      </c>
      <c r="AF11" s="645" t="s">
        <v>310</v>
      </c>
      <c r="AG11" s="757">
        <v>4.5</v>
      </c>
      <c r="AH11" s="646">
        <f t="shared" si="6"/>
        <v>29.93</v>
      </c>
    </row>
    <row r="12" spans="1:34" s="728" customFormat="1" ht="24.75" customHeight="1">
      <c r="A12" s="267">
        <v>5</v>
      </c>
      <c r="B12" s="475" t="s">
        <v>7</v>
      </c>
      <c r="C12" s="348">
        <v>83.4</v>
      </c>
      <c r="D12" s="342">
        <v>28.9</v>
      </c>
      <c r="E12" s="342">
        <v>45.8</v>
      </c>
      <c r="F12" s="342">
        <v>8.7</v>
      </c>
      <c r="G12" s="558">
        <f t="shared" si="0"/>
        <v>84.369</v>
      </c>
      <c r="H12" s="558">
        <v>20.07</v>
      </c>
      <c r="I12" s="558">
        <v>54.049</v>
      </c>
      <c r="J12" s="558">
        <v>7.12</v>
      </c>
      <c r="K12" s="531">
        <v>3.13</v>
      </c>
      <c r="L12" s="629">
        <v>11267.87</v>
      </c>
      <c r="M12" s="740">
        <f t="shared" si="1"/>
        <v>38.15</v>
      </c>
      <c r="N12" s="741">
        <v>11.55</v>
      </c>
      <c r="O12" s="741">
        <v>23.8</v>
      </c>
      <c r="P12" s="741">
        <v>2.3</v>
      </c>
      <c r="Q12" s="741">
        <v>0.5</v>
      </c>
      <c r="R12" s="742">
        <v>5973</v>
      </c>
      <c r="S12" s="605">
        <f t="shared" si="2"/>
        <v>23.930000000000003</v>
      </c>
      <c r="T12" s="471">
        <f t="shared" si="3"/>
        <v>2.25</v>
      </c>
      <c r="U12" s="471">
        <f t="shared" si="3"/>
        <v>16.8</v>
      </c>
      <c r="V12" s="471">
        <f t="shared" si="3"/>
        <v>4.08</v>
      </c>
      <c r="W12" s="471">
        <f t="shared" si="3"/>
        <v>0.8</v>
      </c>
      <c r="X12" s="471">
        <f t="shared" si="3"/>
        <v>2831.3999999999996</v>
      </c>
      <c r="Y12" s="605">
        <f t="shared" si="4"/>
        <v>62.080000000000005</v>
      </c>
      <c r="Z12" s="475">
        <v>13.8</v>
      </c>
      <c r="AA12" s="475">
        <v>40.6</v>
      </c>
      <c r="AB12" s="475">
        <v>6.38</v>
      </c>
      <c r="AC12" s="475">
        <v>1.3</v>
      </c>
      <c r="AD12" s="619">
        <v>8804.4</v>
      </c>
      <c r="AE12" s="563">
        <f t="shared" si="5"/>
        <v>0.7358152876056372</v>
      </c>
      <c r="AF12" s="476" t="s">
        <v>309</v>
      </c>
      <c r="AG12" s="757"/>
      <c r="AH12" s="646">
        <f t="shared" si="6"/>
        <v>62.080000000000005</v>
      </c>
    </row>
    <row r="13" spans="1:34" s="728" customFormat="1" ht="21.75" customHeight="1">
      <c r="A13" s="267">
        <v>6</v>
      </c>
      <c r="B13" s="475" t="s">
        <v>8</v>
      </c>
      <c r="C13" s="348">
        <v>110.5</v>
      </c>
      <c r="D13" s="342">
        <v>52.1</v>
      </c>
      <c r="E13" s="342">
        <v>26.1</v>
      </c>
      <c r="F13" s="342">
        <v>32.3</v>
      </c>
      <c r="G13" s="558">
        <f t="shared" si="0"/>
        <v>88.69</v>
      </c>
      <c r="H13" s="558">
        <v>15.02</v>
      </c>
      <c r="I13" s="558">
        <v>43.97</v>
      </c>
      <c r="J13" s="558">
        <v>29.7</v>
      </c>
      <c r="K13" s="531"/>
      <c r="L13" s="629">
        <v>11441.72</v>
      </c>
      <c r="M13" s="740">
        <f t="shared" si="1"/>
        <v>33.44</v>
      </c>
      <c r="N13" s="741">
        <v>1.346</v>
      </c>
      <c r="O13" s="741">
        <v>17.874</v>
      </c>
      <c r="P13" s="741">
        <v>14.22</v>
      </c>
      <c r="Q13" s="741"/>
      <c r="R13" s="742">
        <v>4077</v>
      </c>
      <c r="S13" s="605">
        <f t="shared" si="2"/>
        <v>9.19</v>
      </c>
      <c r="T13" s="471">
        <f t="shared" si="3"/>
        <v>2.404</v>
      </c>
      <c r="U13" s="471">
        <f t="shared" si="3"/>
        <v>4.356000000000002</v>
      </c>
      <c r="V13" s="471">
        <f t="shared" si="3"/>
        <v>2.429999999999998</v>
      </c>
      <c r="W13" s="471">
        <f t="shared" si="3"/>
        <v>0</v>
      </c>
      <c r="X13" s="471">
        <f t="shared" si="3"/>
        <v>1262</v>
      </c>
      <c r="Y13" s="605">
        <f t="shared" si="4"/>
        <v>42.629999999999995</v>
      </c>
      <c r="Z13" s="475">
        <v>3.75</v>
      </c>
      <c r="AA13" s="475">
        <v>22.23</v>
      </c>
      <c r="AB13" s="475">
        <v>16.65</v>
      </c>
      <c r="AC13" s="475"/>
      <c r="AD13" s="619">
        <v>5339</v>
      </c>
      <c r="AE13" s="563">
        <f t="shared" si="5"/>
        <v>0.4806629834254143</v>
      </c>
      <c r="AF13" s="476"/>
      <c r="AG13" s="757"/>
      <c r="AH13" s="646">
        <f t="shared" si="6"/>
        <v>42.629999999999995</v>
      </c>
    </row>
    <row r="14" spans="1:34" s="727" customFormat="1" ht="21.75" customHeight="1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0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737">
        <f t="shared" si="1"/>
        <v>31.63</v>
      </c>
      <c r="N14" s="738">
        <v>2</v>
      </c>
      <c r="O14" s="738">
        <v>19.38</v>
      </c>
      <c r="P14" s="738">
        <v>10.25</v>
      </c>
      <c r="Q14" s="738"/>
      <c r="R14" s="739">
        <v>2986</v>
      </c>
      <c r="S14" s="603">
        <f t="shared" si="2"/>
        <v>29.23</v>
      </c>
      <c r="T14" s="471">
        <f t="shared" si="3"/>
        <v>6.82</v>
      </c>
      <c r="U14" s="471">
        <f t="shared" si="3"/>
        <v>9.440000000000001</v>
      </c>
      <c r="V14" s="471">
        <f t="shared" si="3"/>
        <v>12.969999999999999</v>
      </c>
      <c r="W14" s="471">
        <f t="shared" si="3"/>
        <v>0</v>
      </c>
      <c r="X14" s="471">
        <f t="shared" si="3"/>
        <v>3666.95</v>
      </c>
      <c r="Y14" s="603">
        <f t="shared" si="4"/>
        <v>60.86</v>
      </c>
      <c r="Z14" s="471">
        <v>8.82</v>
      </c>
      <c r="AA14" s="471">
        <v>28.82</v>
      </c>
      <c r="AB14" s="471">
        <v>23.22</v>
      </c>
      <c r="AC14" s="471"/>
      <c r="AD14" s="618">
        <v>6652.95</v>
      </c>
      <c r="AE14" s="604">
        <f t="shared" si="5"/>
        <v>0.45649564956495653</v>
      </c>
      <c r="AF14" s="473" t="s">
        <v>321</v>
      </c>
      <c r="AG14" s="756">
        <v>2.2</v>
      </c>
      <c r="AH14" s="646">
        <f t="shared" si="6"/>
        <v>63.06</v>
      </c>
    </row>
    <row r="15" spans="1:34" ht="21.75" customHeight="1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0"/>
        <v>94</v>
      </c>
      <c r="H15" s="558">
        <v>28.09</v>
      </c>
      <c r="I15" s="558">
        <v>48.3</v>
      </c>
      <c r="J15" s="558">
        <v>17.61</v>
      </c>
      <c r="K15" s="531"/>
      <c r="L15" s="629">
        <v>12917.85</v>
      </c>
      <c r="M15" s="603">
        <f t="shared" si="1"/>
        <v>37.07</v>
      </c>
      <c r="N15" s="471">
        <v>7.890000000000001</v>
      </c>
      <c r="O15" s="471">
        <v>24.28</v>
      </c>
      <c r="P15" s="471">
        <v>4.9</v>
      </c>
      <c r="Q15" s="471"/>
      <c r="R15" s="618">
        <v>5043</v>
      </c>
      <c r="S15" s="603">
        <f t="shared" si="2"/>
        <v>13.249999999999996</v>
      </c>
      <c r="T15" s="471">
        <f t="shared" si="3"/>
        <v>0.5</v>
      </c>
      <c r="U15" s="471">
        <f t="shared" si="3"/>
        <v>11.049999999999997</v>
      </c>
      <c r="V15" s="471">
        <f t="shared" si="3"/>
        <v>1.6999999999999993</v>
      </c>
      <c r="W15" s="471">
        <f t="shared" si="3"/>
        <v>0</v>
      </c>
      <c r="X15" s="471">
        <f t="shared" si="3"/>
        <v>2106.6000000000004</v>
      </c>
      <c r="Y15" s="603">
        <f t="shared" si="4"/>
        <v>50.32</v>
      </c>
      <c r="Z15" s="471">
        <v>8.39</v>
      </c>
      <c r="AA15" s="471">
        <v>35.33</v>
      </c>
      <c r="AB15" s="471">
        <v>6.6</v>
      </c>
      <c r="AC15" s="471"/>
      <c r="AD15" s="618">
        <v>7149.6</v>
      </c>
      <c r="AE15" s="604">
        <f t="shared" si="5"/>
        <v>0.5353191489361702</v>
      </c>
      <c r="AF15" s="476" t="s">
        <v>312</v>
      </c>
      <c r="AG15" s="756">
        <v>26.6</v>
      </c>
      <c r="AH15" s="646">
        <f t="shared" si="6"/>
        <v>76.92</v>
      </c>
    </row>
    <row r="16" spans="1:34" s="727" customFormat="1" ht="21.75" customHeight="1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0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737">
        <f t="shared" si="1"/>
        <v>0.95</v>
      </c>
      <c r="N16" s="738">
        <v>0.95</v>
      </c>
      <c r="O16" s="738">
        <v>0</v>
      </c>
      <c r="P16" s="738">
        <v>0</v>
      </c>
      <c r="Q16" s="738"/>
      <c r="R16" s="739">
        <v>263.3</v>
      </c>
      <c r="S16" s="603">
        <f t="shared" si="2"/>
        <v>7.38</v>
      </c>
      <c r="T16" s="471">
        <f t="shared" si="3"/>
        <v>1.4200000000000002</v>
      </c>
      <c r="U16" s="471">
        <f t="shared" si="3"/>
        <v>5.26</v>
      </c>
      <c r="V16" s="471">
        <f t="shared" si="3"/>
        <v>0.7</v>
      </c>
      <c r="W16" s="471">
        <f t="shared" si="3"/>
        <v>0</v>
      </c>
      <c r="X16" s="471">
        <f t="shared" si="3"/>
        <v>1048.9</v>
      </c>
      <c r="Y16" s="603">
        <f t="shared" si="4"/>
        <v>8.33</v>
      </c>
      <c r="Z16" s="471">
        <v>2.37</v>
      </c>
      <c r="AA16" s="471">
        <v>5.26</v>
      </c>
      <c r="AB16" s="471">
        <v>0.7</v>
      </c>
      <c r="AC16" s="471"/>
      <c r="AD16" s="618">
        <v>1312.2</v>
      </c>
      <c r="AE16" s="604">
        <f t="shared" si="5"/>
        <v>0.21602697095435683</v>
      </c>
      <c r="AF16" s="476" t="s">
        <v>320</v>
      </c>
      <c r="AG16" s="756">
        <v>1.3</v>
      </c>
      <c r="AH16" s="646">
        <f t="shared" si="6"/>
        <v>9.63</v>
      </c>
    </row>
    <row r="17" spans="1:34" s="727" customFormat="1" ht="19.5" customHeight="1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0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14117.22</v>
      </c>
      <c r="M17" s="737">
        <f t="shared" si="1"/>
        <v>20.6</v>
      </c>
      <c r="N17" s="738">
        <v>8.21</v>
      </c>
      <c r="O17" s="738">
        <v>12.39</v>
      </c>
      <c r="P17" s="738">
        <v>0</v>
      </c>
      <c r="Q17" s="738"/>
      <c r="R17" s="739">
        <v>3037.3</v>
      </c>
      <c r="S17" s="603">
        <f t="shared" si="2"/>
        <v>23.709999999999997</v>
      </c>
      <c r="T17" s="471">
        <f t="shared" si="3"/>
        <v>12.169999999999998</v>
      </c>
      <c r="U17" s="471">
        <f t="shared" si="3"/>
        <v>10.54</v>
      </c>
      <c r="V17" s="471">
        <f t="shared" si="3"/>
        <v>1</v>
      </c>
      <c r="W17" s="471">
        <f t="shared" si="3"/>
        <v>0</v>
      </c>
      <c r="X17" s="471">
        <f t="shared" si="3"/>
        <v>4291.2</v>
      </c>
      <c r="Y17" s="603">
        <f t="shared" si="4"/>
        <v>44.31</v>
      </c>
      <c r="Z17" s="471">
        <v>20.38</v>
      </c>
      <c r="AA17" s="471">
        <v>22.93</v>
      </c>
      <c r="AB17" s="471">
        <v>1</v>
      </c>
      <c r="AC17" s="471"/>
      <c r="AD17" s="618">
        <v>7328.5</v>
      </c>
      <c r="AE17" s="563">
        <f t="shared" si="5"/>
        <v>0.4813165326960679</v>
      </c>
      <c r="AF17" s="476" t="s">
        <v>319</v>
      </c>
      <c r="AG17" s="757">
        <v>12</v>
      </c>
      <c r="AH17" s="646">
        <f t="shared" si="6"/>
        <v>56.31</v>
      </c>
    </row>
    <row r="18" spans="1:34" s="727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0"/>
        <v>2.6</v>
      </c>
      <c r="H18" s="607">
        <v>1</v>
      </c>
      <c r="I18" s="607"/>
      <c r="J18" s="607">
        <v>1.6</v>
      </c>
      <c r="K18" s="531"/>
      <c r="L18" s="629">
        <v>438</v>
      </c>
      <c r="M18" s="743">
        <f t="shared" si="1"/>
        <v>1.4180000000000001</v>
      </c>
      <c r="N18" s="744">
        <v>0.65</v>
      </c>
      <c r="O18" s="745">
        <v>0</v>
      </c>
      <c r="P18" s="744">
        <v>0.768</v>
      </c>
      <c r="Q18" s="745"/>
      <c r="R18" s="739">
        <v>35</v>
      </c>
      <c r="S18" s="608">
        <f t="shared" si="2"/>
        <v>0.030000000000000027</v>
      </c>
      <c r="T18" s="471">
        <f t="shared" si="3"/>
        <v>0.030000000000000027</v>
      </c>
      <c r="U18" s="471">
        <f t="shared" si="3"/>
        <v>0</v>
      </c>
      <c r="V18" s="471">
        <f t="shared" si="3"/>
        <v>0</v>
      </c>
      <c r="W18" s="471">
        <f t="shared" si="3"/>
        <v>0</v>
      </c>
      <c r="X18" s="471">
        <f t="shared" si="3"/>
        <v>31</v>
      </c>
      <c r="Y18" s="608">
        <f t="shared" si="4"/>
        <v>1.448</v>
      </c>
      <c r="Z18" s="607">
        <f>0.43+0.22+0.03</f>
        <v>0.68</v>
      </c>
      <c r="AA18" s="623">
        <f>+TXHL!U8</f>
        <v>0</v>
      </c>
      <c r="AB18" s="607">
        <f>+TXHL!V8</f>
        <v>0.768</v>
      </c>
      <c r="AC18" s="623"/>
      <c r="AD18" s="618">
        <f>+TXHL!X8+31</f>
        <v>66</v>
      </c>
      <c r="AE18" s="563">
        <f t="shared" si="5"/>
        <v>0.5569230769230769</v>
      </c>
      <c r="AF18" s="476" t="s">
        <v>322</v>
      </c>
      <c r="AG18" s="757">
        <v>2</v>
      </c>
      <c r="AH18" s="646">
        <f t="shared" si="6"/>
        <v>3.448</v>
      </c>
    </row>
    <row r="19" spans="1:34" s="727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0"/>
        <v>18</v>
      </c>
      <c r="H19" s="650">
        <v>4</v>
      </c>
      <c r="I19" s="650">
        <v>4.4</v>
      </c>
      <c r="J19" s="650">
        <v>9.6</v>
      </c>
      <c r="K19" s="651"/>
      <c r="L19" s="630">
        <v>2384</v>
      </c>
      <c r="M19" s="746">
        <f t="shared" si="1"/>
        <v>5.699999999999999</v>
      </c>
      <c r="N19" s="747">
        <v>1.7</v>
      </c>
      <c r="O19" s="747">
        <v>0.2</v>
      </c>
      <c r="P19" s="747">
        <v>3.8</v>
      </c>
      <c r="Q19" s="748"/>
      <c r="R19" s="749">
        <v>640</v>
      </c>
      <c r="S19" s="584">
        <f t="shared" si="2"/>
        <v>2.3000000000000003</v>
      </c>
      <c r="T19" s="493">
        <f t="shared" si="3"/>
        <v>0.19999999999999996</v>
      </c>
      <c r="U19" s="493">
        <f t="shared" si="3"/>
        <v>0.2</v>
      </c>
      <c r="V19" s="493">
        <f t="shared" si="3"/>
        <v>1.9000000000000004</v>
      </c>
      <c r="W19" s="493">
        <f t="shared" si="3"/>
        <v>0</v>
      </c>
      <c r="X19" s="493">
        <f t="shared" si="3"/>
        <v>243</v>
      </c>
      <c r="Y19" s="584">
        <f t="shared" si="4"/>
        <v>8</v>
      </c>
      <c r="Z19" s="585">
        <v>1.9</v>
      </c>
      <c r="AA19" s="585">
        <v>0.4</v>
      </c>
      <c r="AB19" s="585">
        <v>5.7</v>
      </c>
      <c r="AC19" s="624"/>
      <c r="AD19" s="621">
        <v>883</v>
      </c>
      <c r="AE19" s="610">
        <f>+Y19/G19</f>
        <v>0.4444444444444444</v>
      </c>
      <c r="AF19" s="587"/>
      <c r="AG19" s="758"/>
      <c r="AH19" s="646">
        <f t="shared" si="6"/>
        <v>8</v>
      </c>
    </row>
    <row r="20" spans="1:34" ht="21.75" customHeight="1">
      <c r="A20" s="870" t="s">
        <v>23</v>
      </c>
      <c r="B20" s="871"/>
      <c r="C20" s="478">
        <f aca="true" t="shared" si="7" ref="C20:Q20">+SUM(C8:C19)</f>
        <v>976.8000000000001</v>
      </c>
      <c r="D20" s="479">
        <f t="shared" si="7"/>
        <v>369.9</v>
      </c>
      <c r="E20" s="479">
        <f t="shared" si="7"/>
        <v>358.7</v>
      </c>
      <c r="F20" s="479">
        <f t="shared" si="7"/>
        <v>248.19999999999996</v>
      </c>
      <c r="G20" s="359">
        <f t="shared" si="7"/>
        <v>747.168</v>
      </c>
      <c r="H20" s="652">
        <f t="shared" si="7"/>
        <v>231.515</v>
      </c>
      <c r="I20" s="652">
        <f t="shared" si="7"/>
        <v>317.46799999999996</v>
      </c>
      <c r="J20" s="652">
        <f t="shared" si="7"/>
        <v>195.055</v>
      </c>
      <c r="K20" s="652">
        <f>+SUM(K8:K19)</f>
        <v>3.13</v>
      </c>
      <c r="L20" s="653">
        <f t="shared" si="7"/>
        <v>108098.62800000001</v>
      </c>
      <c r="M20" s="750">
        <f t="shared" si="7"/>
        <v>233.87199999999996</v>
      </c>
      <c r="N20" s="751">
        <f t="shared" si="7"/>
        <v>49.203</v>
      </c>
      <c r="O20" s="751">
        <f t="shared" si="7"/>
        <v>128.221</v>
      </c>
      <c r="P20" s="752">
        <f t="shared" si="7"/>
        <v>55.948</v>
      </c>
      <c r="Q20" s="752">
        <f t="shared" si="7"/>
        <v>0.5</v>
      </c>
      <c r="R20" s="753">
        <f aca="true" t="shared" si="8" ref="R20:AD20">+SUM(R8:R19)</f>
        <v>30892.311999999998</v>
      </c>
      <c r="S20" s="483">
        <f aca="true" t="shared" si="9" ref="S20:X20">+SUM(S8:S19)</f>
        <v>146.965</v>
      </c>
      <c r="T20" s="480">
        <f t="shared" si="9"/>
        <v>40.684000000000005</v>
      </c>
      <c r="U20" s="480">
        <f t="shared" si="9"/>
        <v>72.809</v>
      </c>
      <c r="V20" s="481">
        <f t="shared" si="9"/>
        <v>32.672</v>
      </c>
      <c r="W20" s="481">
        <f t="shared" si="9"/>
        <v>0.8</v>
      </c>
      <c r="X20" s="654">
        <f t="shared" si="9"/>
        <v>21260.988</v>
      </c>
      <c r="Y20" s="481">
        <f t="shared" si="8"/>
        <v>380.787</v>
      </c>
      <c r="Z20" s="480">
        <f t="shared" si="8"/>
        <v>89.83700000000002</v>
      </c>
      <c r="AA20" s="481">
        <f t="shared" si="8"/>
        <v>201.03</v>
      </c>
      <c r="AB20" s="481">
        <f t="shared" si="8"/>
        <v>88.62</v>
      </c>
      <c r="AC20" s="481">
        <f t="shared" si="8"/>
        <v>1.3</v>
      </c>
      <c r="AD20" s="654">
        <f t="shared" si="8"/>
        <v>52153.299999999996</v>
      </c>
      <c r="AE20" s="655">
        <f>+Y20/G20</f>
        <v>0.5096404021585507</v>
      </c>
      <c r="AF20" s="486" t="str">
        <f>+AG4&amp;AG20&amp;" km"</f>
        <v>Đường dự án và đường khác: 52,6 km</v>
      </c>
      <c r="AG20" s="759">
        <f>+SUM(AG8:AG19)</f>
        <v>52.599999999999994</v>
      </c>
      <c r="AH20" s="656">
        <f>SUM(AH8:AH19)</f>
        <v>433.387</v>
      </c>
    </row>
    <row r="21" spans="2:34" ht="30" customHeight="1">
      <c r="B21" s="864" t="s">
        <v>48</v>
      </c>
      <c r="C21" s="865"/>
      <c r="D21" s="865"/>
      <c r="E21" s="865"/>
      <c r="F21" s="865"/>
      <c r="G21" s="865"/>
      <c r="H21" s="865"/>
      <c r="I21" s="865"/>
      <c r="J21" s="865"/>
      <c r="K21" s="865"/>
      <c r="L21" s="865"/>
      <c r="M21" s="865"/>
      <c r="N21" s="865"/>
      <c r="O21" s="865"/>
      <c r="P21" s="865"/>
      <c r="Q21" s="865"/>
      <c r="R21" s="865"/>
      <c r="S21" s="865"/>
      <c r="T21" s="865"/>
      <c r="U21" s="865"/>
      <c r="V21" s="865"/>
      <c r="W21" s="865"/>
      <c r="X21" s="865"/>
      <c r="Y21" s="865"/>
      <c r="Z21" s="865"/>
      <c r="AA21" s="865"/>
      <c r="AB21" s="865"/>
      <c r="AC21" s="865"/>
      <c r="AD21" s="865"/>
      <c r="AE21" s="865"/>
      <c r="AF21" s="865"/>
      <c r="AG21" s="726"/>
      <c r="AH21" s="657"/>
    </row>
    <row r="22" spans="2:31" ht="15">
      <c r="B22" s="162"/>
      <c r="R22" s="164"/>
      <c r="S22" s="754"/>
      <c r="X22" s="164"/>
      <c r="AA22" s="36"/>
      <c r="AD22" s="165"/>
      <c r="AE22" s="166"/>
    </row>
    <row r="23" spans="2:30" ht="15">
      <c r="B23" s="659"/>
      <c r="G23" s="167"/>
      <c r="N23" s="36"/>
      <c r="T23" s="36"/>
      <c r="Y23" s="168"/>
      <c r="AD23" s="169"/>
    </row>
    <row r="47" spans="27:31" ht="15">
      <c r="AA47" s="465">
        <v>3.457</v>
      </c>
      <c r="AB47" s="465">
        <v>14.248</v>
      </c>
      <c r="AC47" s="465">
        <v>7.3</v>
      </c>
      <c r="AD47" s="465"/>
      <c r="AE47" s="616">
        <v>4856</v>
      </c>
    </row>
  </sheetData>
  <sheetProtection/>
  <mergeCells count="30">
    <mergeCell ref="A1:AF1"/>
    <mergeCell ref="A2:AF2"/>
    <mergeCell ref="A3:AF3"/>
    <mergeCell ref="A4:A6"/>
    <mergeCell ref="B4:B6"/>
    <mergeCell ref="C4:F4"/>
    <mergeCell ref="G4:L4"/>
    <mergeCell ref="M4:R4"/>
    <mergeCell ref="S4:X4"/>
    <mergeCell ref="Y4:AD4"/>
    <mergeCell ref="AE4:AE6"/>
    <mergeCell ref="AF4:AF6"/>
    <mergeCell ref="AG4:AG6"/>
    <mergeCell ref="AH4:AH6"/>
    <mergeCell ref="C5:C6"/>
    <mergeCell ref="D5:F5"/>
    <mergeCell ref="G5:G6"/>
    <mergeCell ref="H5:K5"/>
    <mergeCell ref="L5:L6"/>
    <mergeCell ref="M5:M6"/>
    <mergeCell ref="Z5:AC5"/>
    <mergeCell ref="AD5:AD6"/>
    <mergeCell ref="A20:B20"/>
    <mergeCell ref="B21:AF21"/>
    <mergeCell ref="N5:Q5"/>
    <mergeCell ref="R5:R6"/>
    <mergeCell ref="S5:S6"/>
    <mergeCell ref="T5:W5"/>
    <mergeCell ref="X5:X6"/>
    <mergeCell ref="Y5:Y6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Nguyenhieu</dc:creator>
  <cp:keywords/>
  <dc:description/>
  <cp:lastModifiedBy>Admin</cp:lastModifiedBy>
  <cp:lastPrinted>2013-09-06T01:25:04Z</cp:lastPrinted>
  <dcterms:created xsi:type="dcterms:W3CDTF">2013-04-24T06:59:08Z</dcterms:created>
  <dcterms:modified xsi:type="dcterms:W3CDTF">2013-09-06T01:30:35Z</dcterms:modified>
  <cp:category/>
  <cp:version/>
  <cp:contentType/>
  <cp:contentStatus/>
</cp:coreProperties>
</file>