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drawings/drawing2.xml" ContentType="application/vnd.openxmlformats-officedocument.drawing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worksheets/sheet32.xml" ContentType="application/vnd.openxmlformats-officedocument.spreadsheetml.worksheet+xml"/>
  <Override PartName="/xl/drawings/drawing4.xml" ContentType="application/vnd.openxmlformats-officedocument.drawing+xml"/>
  <Override PartName="/xl/worksheets/sheet33.xml" ContentType="application/vnd.openxmlformats-officedocument.spreadsheetml.worksheet+xml"/>
  <Override PartName="/xl/drawings/drawing5.xml" ContentType="application/vnd.openxmlformats-officedocument.drawing+xml"/>
  <Override PartName="/xl/worksheets/sheet34.xml" ContentType="application/vnd.openxmlformats-officedocument.spreadsheetml.worksheet+xml"/>
  <Override PartName="/xl/drawings/drawing6.xml" ContentType="application/vnd.openxmlformats-officedocument.drawing+xml"/>
  <Override PartName="/xl/worksheets/sheet35.xml" ContentType="application/vnd.openxmlformats-officedocument.spreadsheetml.worksheet+xml"/>
  <Override PartName="/xl/drawings/drawing7.xml" ContentType="application/vnd.openxmlformats-officedocument.drawing+xml"/>
  <Override PartName="/xl/worksheets/sheet36.xml" ContentType="application/vnd.openxmlformats-officedocument.spreadsheetml.worksheet+xml"/>
  <Override PartName="/xl/drawings/drawing8.xml" ContentType="application/vnd.openxmlformats-officedocument.drawing+xml"/>
  <Override PartName="/xl/worksheets/sheet37.xml" ContentType="application/vnd.openxmlformats-officedocument.spreadsheetml.worksheet+xml"/>
  <Override PartName="/xl/drawings/drawing9.xml" ContentType="application/vnd.openxmlformats-officedocument.drawing+xml"/>
  <Override PartName="/xl/worksheets/sheet38.xml" ContentType="application/vnd.openxmlformats-officedocument.spreadsheetml.worksheet+xml"/>
  <Override PartName="/xl/drawings/drawing10.xml" ContentType="application/vnd.openxmlformats-officedocument.drawing+xml"/>
  <Override PartName="/xl/worksheets/sheet39.xml" ContentType="application/vnd.openxmlformats-officedocument.spreadsheetml.worksheet+xml"/>
  <Override PartName="/xl/drawings/drawing11.xml" ContentType="application/vnd.openxmlformats-officedocument.drawing+xml"/>
  <Override PartName="/xl/worksheets/sheet40.xml" ContentType="application/vnd.openxmlformats-officedocument.spreadsheetml.worksheet+xml"/>
  <Override PartName="/xl/drawings/drawing12.xml" ContentType="application/vnd.openxmlformats-officedocument.drawing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40" firstSheet="1" activeTab="1"/>
  </bookViews>
  <sheets>
    <sheet name="Dang Ky lam GTNT" sheetId="1" state="hidden" r:id="rId1"/>
    <sheet name="14.11.2013" sheetId="2" r:id="rId2"/>
    <sheet name="07.11.2013" sheetId="3" r:id="rId3"/>
    <sheet name="31.10.2013 (2)" sheetId="4" state="hidden" r:id="rId4"/>
    <sheet name="31.10.2013" sheetId="5" state="hidden" r:id="rId5"/>
    <sheet name="24.10.2013" sheetId="6" state="hidden" r:id="rId6"/>
    <sheet name="17.10.2013" sheetId="7" state="hidden" r:id="rId7"/>
    <sheet name="10.10.2013" sheetId="8" state="hidden" r:id="rId8"/>
    <sheet name="03.10.2013" sheetId="9" state="hidden" r:id="rId9"/>
    <sheet name="26.9.2013" sheetId="10" state="hidden" r:id="rId10"/>
    <sheet name="19.9.2013 (2)" sheetId="11" state="hidden" r:id="rId11"/>
    <sheet name="19.9.2013" sheetId="12" state="hidden" r:id="rId12"/>
    <sheet name="12.9.2013" sheetId="13" state="hidden" r:id="rId13"/>
    <sheet name="05.9.2013" sheetId="14" state="hidden" r:id="rId14"/>
    <sheet name="29.8.2013 (2)" sheetId="15" state="hidden" r:id="rId15"/>
    <sheet name="29.8.2013" sheetId="16" state="hidden" r:id="rId16"/>
    <sheet name="22.8.2013" sheetId="17" state="hidden" r:id="rId17"/>
    <sheet name="15.8.2013" sheetId="18" state="hidden" r:id="rId18"/>
    <sheet name="08.8.13" sheetId="19" state="hidden" r:id="rId19"/>
    <sheet name="01.8.2013" sheetId="20" state="hidden" r:id="rId20"/>
    <sheet name="31.07" sheetId="21" state="hidden" r:id="rId21"/>
    <sheet name="25.7.2013" sheetId="22" state="hidden" r:id="rId22"/>
    <sheet name="18.7.2013" sheetId="23" state="hidden" r:id="rId23"/>
    <sheet name="11.7.2013" sheetId="24" state="hidden" r:id="rId24"/>
    <sheet name="04.7.2013" sheetId="25" state="hidden" r:id="rId25"/>
    <sheet name="5 thang" sheetId="26" state="hidden" r:id="rId26"/>
    <sheet name="xx" sheetId="27" state="hidden" r:id="rId27"/>
    <sheet name="22.6.2013" sheetId="28" state="hidden" r:id="rId28"/>
    <sheet name="LH" sheetId="29" state="hidden" r:id="rId29"/>
    <sheet name="HS" sheetId="30" state="hidden" r:id="rId30"/>
    <sheet name="VQ" sheetId="31" state="hidden" r:id="rId31"/>
    <sheet name="DT" sheetId="32" state="hidden" r:id="rId32"/>
    <sheet name="HK" sheetId="33" state="hidden" r:id="rId33"/>
    <sheet name="CL" sheetId="34" state="hidden" r:id="rId34"/>
    <sheet name="CX" sheetId="35" state="hidden" r:id="rId35"/>
    <sheet name="TH" sheetId="36" state="hidden" r:id="rId36"/>
    <sheet name="NX" sheetId="37" state="hidden" r:id="rId37"/>
    <sheet name="KA" sheetId="38" state="hidden" r:id="rId38"/>
    <sheet name="TXHL" sheetId="39" state="hidden" r:id="rId39"/>
    <sheet name="TPHT" sheetId="40" state="hidden" r:id="rId40"/>
    <sheet name="17-10" sheetId="41" state="hidden" r:id="rId41"/>
  </sheets>
  <externalReferences>
    <externalReference r:id="rId44"/>
  </externalReferences>
  <definedNames>
    <definedName name="_xlnm.Print_Area" localSheetId="19">'01.8.2013'!$A$1:$AG$21</definedName>
    <definedName name="_xlnm.Print_Area" localSheetId="8">'03.10.2013'!$A$1:$T$21</definedName>
    <definedName name="_xlnm.Print_Area" localSheetId="24">'04.7.2013'!$A$1:$Z$25</definedName>
    <definedName name="_xlnm.Print_Area" localSheetId="13">'05.9.2013'!$A$1:$T$21</definedName>
    <definedName name="_xlnm.Print_Area" localSheetId="2">'07.11.2013'!$A$1:$Z$21</definedName>
    <definedName name="_xlnm.Print_Area" localSheetId="18">'08.8.13'!$A$1:$U$21</definedName>
    <definedName name="_xlnm.Print_Area" localSheetId="7">'10.10.2013'!$A$1:$T$21</definedName>
    <definedName name="_xlnm.Print_Area" localSheetId="23">'11.7.2013'!$A$1:$Z$25</definedName>
    <definedName name="_xlnm.Print_Area" localSheetId="12">'12.9.2013'!$A$1:$T$21</definedName>
    <definedName name="_xlnm.Print_Area" localSheetId="1">'14.11.2013'!$A$1:$Z$21</definedName>
    <definedName name="_xlnm.Print_Area" localSheetId="17">'15.8.2013'!$A$1:$T$21</definedName>
    <definedName name="_xlnm.Print_Area" localSheetId="6">'17.10.2013'!$A$1:$T$21</definedName>
    <definedName name="_xlnm.Print_Area" localSheetId="40">'17-10'!$A$1:$U$20</definedName>
    <definedName name="_xlnm.Print_Area" localSheetId="22">'18.7.2013'!$A$1:$Z$25</definedName>
    <definedName name="_xlnm.Print_Area" localSheetId="11">'19.9.2013'!$A$1:$T$21</definedName>
    <definedName name="_xlnm.Print_Area" localSheetId="10">'19.9.2013 (2)'!$A$1:$T$21</definedName>
    <definedName name="_xlnm.Print_Area" localSheetId="16">'22.8.2013'!$A$1:$T$21</definedName>
    <definedName name="_xlnm.Print_Area" localSheetId="5">'24.10.2013'!$A$1:$Z$21</definedName>
    <definedName name="_xlnm.Print_Area" localSheetId="21">'25.7.2013'!$A$1:$Z$25</definedName>
    <definedName name="_xlnm.Print_Area" localSheetId="9">'26.9.2013'!$A$1:$T$21</definedName>
    <definedName name="_xlnm.Print_Area" localSheetId="15">'29.8.2013'!$A$1:$T$21</definedName>
    <definedName name="_xlnm.Print_Area" localSheetId="14">'29.8.2013 (2)'!$A$1:$T$21</definedName>
    <definedName name="_xlnm.Print_Area" localSheetId="20">'31.07'!$A$1:$AF$21</definedName>
    <definedName name="_xlnm.Print_Area" localSheetId="4">'31.10.2013'!$A$1:$Z$21</definedName>
    <definedName name="_xlnm.Print_Area" localSheetId="3">'31.10.2013 (2)'!$A$1:$Z$21</definedName>
    <definedName name="_xlnm.Print_Area" localSheetId="25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<sst xmlns="http://schemas.openxmlformats.org/spreadsheetml/2006/main" count="2489" uniqueCount="408">
  <si>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</si>
  <si>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</si>
  <si>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</si>
  <si>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</si>
  <si>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</si>
  <si>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</si>
  <si>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</si>
  <si>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</si>
  <si>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</si>
  <si>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</si>
  <si>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</si>
  <si>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</si>
  <si>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</si>
  <si>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</si>
  <si>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</si>
  <si>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</si>
  <si>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</si>
  <si>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</si>
  <si>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</si>
  <si>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</si>
  <si>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</si>
  <si>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</si>
  <si>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</si>
  <si>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</si>
  <si>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</si>
  <si>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</si>
  <si>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</si>
  <si>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</si>
  <si>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</si>
  <si>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</si>
  <si>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</si>
  <si>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</si>
  <si>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</si>
  <si>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</si>
  <si>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</si>
  <si>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</si>
  <si>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</si>
  <si>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</si>
  <si>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</si>
  <si>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</si>
  <si>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</si>
  <si>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</si>
  <si>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</si>
  <si>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</si>
  <si>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</si>
  <si>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</si>
  <si>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</si>
  <si>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</si>
  <si>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</si>
  <si>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</si>
  <si>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</si>
  <si>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</si>
  <si>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</si>
  <si>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</si>
  <si>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</si>
  <si>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</si>
  <si>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</si>
  <si>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</si>
  <si>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</si>
  <si>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</si>
  <si>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</si>
  <si>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</si>
  <si>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</si>
  <si>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</si>
  <si>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</si>
  <si>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</si>
  <si>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</si>
  <si>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</si>
  <si>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</si>
  <si>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</si>
  <si>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</si>
  <si>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</si>
  <si>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</si>
  <si>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</si>
  <si>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</si>
  <si>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</si>
  <si>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</si>
  <si>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</si>
  <si>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</si>
  <si>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</si>
  <si>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</si>
  <si>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</si>
  <si>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</si>
  <si>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</si>
  <si>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</si>
  <si>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</si>
  <si>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</si>
  <si>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</si>
  <si>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</si>
  <si>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</si>
  <si>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</si>
  <si>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</si>
  <si>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</si>
  <si>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</si>
  <si>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</si>
  <si>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</si>
  <si>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</si>
  <si>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</si>
  <si>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</si>
  <si>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</si>
  <si>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</si>
  <si>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</si>
  <si>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</si>
  <si>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</si>
  <si>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</si>
  <si>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</si>
  <si>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</si>
  <si>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</si>
  <si>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</si>
  <si>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</si>
  <si>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</si>
  <si>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</si>
  <si>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</si>
  <si>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</si>
  <si>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</si>
  <si>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</si>
  <si>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</si>
  <si>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</si>
  <si>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</si>
  <si>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</si>
  <si>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</si>
  <si>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</si>
  <si>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</si>
  <si>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</si>
  <si>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</si>
  <si>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</si>
  <si>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</si>
  <si>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</si>
  <si>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</si>
  <si>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</si>
  <si>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</si>
  <si>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</si>
  <si>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</si>
  <si>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</si>
  <si>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</si>
  <si>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</si>
  <si>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</si>
  <si>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</si>
  <si>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</si>
  <si>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</si>
  <si>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</si>
  <si>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</si>
  <si>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</si>
  <si>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</si>
  <si>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</si>
  <si>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</si>
  <si>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</si>
  <si>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</si>
  <si>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</si>
  <si>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</si>
  <si>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</si>
  <si>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</si>
  <si>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</si>
  <si>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</si>
  <si>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</si>
  <si>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</si>
  <si>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</si>
  <si>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</si>
  <si>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</si>
  <si>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</si>
  <si>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</si>
  <si>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</si>
  <si>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</si>
  <si>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</si>
  <si>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</si>
  <si>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</si>
  <si>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</si>
  <si>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</si>
  <si>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</si>
  <si>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</si>
  <si>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</si>
  <si>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</si>
  <si>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</si>
  <si>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</si>
  <si>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</si>
  <si>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</si>
  <si>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</si>
  <si>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</si>
  <si>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</si>
  <si>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</si>
  <si>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</si>
  <si>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</si>
  <si>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</si>
  <si>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</si>
  <si>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</si>
  <si>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</si>
  <si>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</si>
  <si>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</si>
  <si>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</si>
  <si>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</si>
  <si>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</si>
  <si>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</si>
  <si>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</si>
  <si>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</si>
  <si>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</si>
  <si>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</si>
  <si>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</si>
  <si>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</si>
  <si>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</si>
  <si>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</si>
  <si>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</si>
  <si>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</si>
  <si>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</si>
  <si>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</si>
  <si>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</si>
  <si>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</si>
  <si>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</si>
  <si>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</si>
  <si>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</si>
  <si>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</si>
  <si>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</si>
  <si>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</si>
  <si>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</si>
  <si>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</si>
  <si>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</si>
  <si>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</si>
  <si>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</si>
  <si>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</si>
  <si>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</si>
  <si>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</si>
  <si>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</si>
  <si>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</si>
  <si>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</si>
  <si>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</si>
  <si>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</si>
  <si>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</si>
  <si>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</si>
  <si>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</si>
  <si>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</si>
  <si>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</si>
  <si>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</si>
  <si>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</si>
  <si>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</si>
  <si>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</si>
  <si>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</si>
  <si>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</si>
  <si>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</si>
  <si>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</si>
  <si>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</si>
  <si>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</si>
  <si>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</si>
  <si>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</si>
  <si>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</si>
  <si>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</si>
  <si>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</si>
  <si>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</si>
  <si>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</si>
  <si>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</si>
  <si>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</si>
  <si>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</si>
  <si>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</si>
  <si>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</si>
  <si>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</si>
  <si>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</si>
  <si>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</si>
  <si>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</si>
  <si>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</si>
  <si>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</si>
  <si>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</si>
  <si>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</si>
  <si>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</si>
  <si>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</si>
  <si>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</si>
  <si>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</si>
  <si>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</si>
  <si>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</si>
  <si>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</si>
  <si>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</si>
  <si>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</si>
  <si>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</si>
  <si>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</si>
  <si>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</si>
  <si>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</si>
  <si>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</si>
  <si>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</si>
  <si>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</si>
  <si>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</si>
  <si>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</si>
  <si>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</si>
  <si>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</si>
  <si>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</si>
  <si>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</si>
  <si>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</si>
  <si>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</si>
  <si>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</si>
  <si>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</si>
  <si>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</si>
  <si>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</si>
  <si>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</si>
  <si>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</si>
  <si>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</si>
  <si>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</si>
  <si>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</si>
  <si>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</si>
  <si>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</si>
  <si>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</si>
  <si>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</si>
  <si>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</si>
  <si>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</si>
  <si>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</si>
  <si>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</si>
  <si>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</si>
  <si>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</si>
  <si>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</si>
  <si>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</si>
  <si>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</si>
  <si>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</si>
  <si>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</si>
  <si>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</si>
  <si>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</si>
  <si>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</si>
  <si>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</si>
  <si>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</si>
  <si>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</si>
  <si>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</si>
  <si>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</si>
  <si>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</si>
  <si>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</si>
  <si>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</si>
  <si>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</si>
  <si>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</si>
  <si>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</si>
  <si>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</si>
  <si>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</si>
  <si>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</si>
  <si>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</si>
  <si>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</si>
  <si>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</si>
  <si>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</si>
  <si>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</si>
  <si>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</si>
  <si>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</si>
  <si>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</si>
  <si>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</si>
  <si>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</si>
  <si>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</si>
  <si>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</si>
  <si>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</si>
  <si>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</si>
  <si>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</si>
  <si>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</si>
  <si>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</si>
  <si>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</si>
  <si>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</si>
  <si>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</si>
  <si>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</si>
  <si>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</si>
  <si>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</si>
  <si>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</si>
  <si>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</si>
  <si>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</si>
  <si>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</si>
  <si>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</si>
  <si>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</si>
  <si>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</si>
  <si>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</si>
  <si>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</si>
  <si>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</si>
  <si>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</si>
  <si>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</si>
  <si>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</si>
  <si>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</si>
  <si>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</si>
  <si>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</si>
  <si>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</si>
  <si>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</si>
  <si>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</si>
  <si>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</si>
  <si>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</si>
  <si>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</si>
  <si>
    <t>ĐẾN NGÀY 26 THÁNG 9 NĂM 2013</t>
  </si>
  <si>
    <t>- Trong đó 4,31km làm trước khi có KH hỗ trợ XM của tỉnh
- Chưa kể 1,6km đường Thị trấn (không được hỗ trợ XM)</t>
  </si>
  <si>
    <t>ĐẾN NGÀY 03 THÁNG 10 NĂM 2013</t>
  </si>
  <si>
    <t>ĐẾN NGÀY 10 THÁNG 10 NĂM 2013</t>
  </si>
  <si>
    <t>Khối lượng đăng ký xây dựng đường GTNT năm 2013 của huyện có cam kết bố trí vốn (điều chỉnh)</t>
  </si>
  <si>
    <t>Chưa kể 5,76km đường các phường khác làm (không được hỗ trợ xi măng)</t>
  </si>
  <si>
    <t>Chưa kể 4,15km làm trước khi có KH hỗ trợ XM của tỉnh và 3,64km đường dự án</t>
  </si>
  <si>
    <t>ĐẾN NGÀY 17 THÁNG 10 NĂM 2013</t>
  </si>
  <si>
    <t>Kế hoạch đăng ký xây dựng đường GTNT năm 2013 của huyện (điều chỉnh)</t>
  </si>
  <si>
    <t>da</t>
  </si>
  <si>
    <t>trc</t>
  </si>
  <si>
    <t>- Chưa kể 12,2km đường dự án</t>
  </si>
  <si>
    <t>Chưa kể 2,44km làm trước khi có KH hỗ trợ XM của tỉnh, 8km đường dự án và 3,34km đường Thị trấn không được hỗ trợ XM</t>
  </si>
  <si>
    <t>Chưa kể 0,8km đường Thị trấn (không được hỗ trợ XM) và 23,99km đường dự án</t>
  </si>
  <si>
    <t>- Trong đó 6,42km làm trước khi có KH hỗ trợ XM của tỉnh;
- Chưa kể 11,65km đường BTXM từ các dự án</t>
  </si>
  <si>
    <t>- Trong đó 4,31km làm trước khi có KH hỗ trợ XM của tỉnh
- Chưa kể 1,73km đường Thị trấn (không được hỗ trợ XM) và 21,67km đường dự án</t>
  </si>
  <si>
    <t>Chưa kể 12,1 km đường BTXM từ dự án và 1km xây dựng trước khi có KH hỗ trợ của tỉnh</t>
  </si>
  <si>
    <t>Chưa kể 13,49 km đường nhựa, BTXM từ các dự án và 6,95km đường BTXM làm trước khi có KH hỗ trợ của tỉnh</t>
  </si>
  <si>
    <t>Chưa kể 5,13km đường BTXM các phường khác làm (không được hỗ trợ xi măng)</t>
  </si>
  <si>
    <t>Chưa kể 39,7 km đường nhựa, BTXM từ các dự án, 7,5km đường BTXM Thị trấn (không được hỗ trợ XM), 17,15km đường khác</t>
  </si>
  <si>
    <t>Chưa kể 39,7 km đường nhựa, BTXM từ các dự án, 11,55km đường BTXM Thị trấn và các xã làm (không được hỗ trợ XM của tỉnh)</t>
  </si>
  <si>
    <t>Chưa kể 14,1km đường BTXM từ các dự án và 7,32km không được hỗ trợ xi măng</t>
  </si>
  <si>
    <t>Chưa kể 5,29km đường BTXM các phường khác làm (không được hỗ trợ xi măng)</t>
  </si>
  <si>
    <t>Chưa kể 12,2km đường dự án</t>
  </si>
  <si>
    <t>Chưa kể 4,31km đường làm trước KH, 1,73km đường Thị trấn (không được hỗ trợ XM) và 21,67km đường dự án</t>
  </si>
  <si>
    <t>Chưa kể 6,06km đường các phường khác làm (không được hỗ trợ xi măng)</t>
  </si>
  <si>
    <t>ĐẾN NGÀY 24 THÁNG 10 NĂM 2013</t>
  </si>
  <si>
    <t xml:space="preserve">Ghi chú: 
- Khối lượng xi măng đã nhận của các địa phương bao gồm cả đường giao thông và thủy lợi nội đồng;
</t>
  </si>
  <si>
    <t>Ghi chú: 
- Khối lượng xi măng đã nhận của các địa phương bao gồm cả đường giao thông và thủy lợi nội đồng; 
- Khối lượng đường BTXM tăng thêm trong tuần: 6,372km (đường ngõ xóm); nhận thêm 1.459,55 tấn xi măng.</t>
  </si>
  <si>
    <t>Khối lượng đường GTNT được áp dụng cơ chế hỗ trợ xi măng năm 2013 của tỉnh</t>
  </si>
  <si>
    <t>ĐẾN NGÀY 31 THÁNG 10 NĂM 2013</t>
  </si>
  <si>
    <t>Chưa kể 5,78km đường BTXM các phường khác làm (không được hỗ trợ xi măng)</t>
  </si>
  <si>
    <t xml:space="preserve">Ghi chú: 
- Khối lượng xi măng đã nhận của các địa phương bao gồm cả đường giao thông và thủy lợi nội đồng; </t>
  </si>
  <si>
    <t>ĐẾN NGÀY 07 THÁNG 11 NĂM 2013</t>
  </si>
  <si>
    <t>làm trước + phường</t>
  </si>
  <si>
    <t>phường</t>
  </si>
  <si>
    <t>ĐẾN NGÀY 14 THÁNG 11 NĂM 2013</t>
  </si>
  <si>
    <t xml:space="preserve">Ghi chú: - Khối lượng xi măng đã nhận của các địa phương bao gồm cả đường giao thông và thủy lợi nội đồng;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</si>
</sst>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173" fontId="11" fillId="0" borderId="0" xfId="60" applyNumberFormat="1" applyFont="1" applyFill="1" applyAlignment="1" quotePrefix="1">
      <alignment/>
    </xf>
    <xf numFmtId="0" fontId="10" fillId="0" borderId="0" xfId="0" applyFont="1" applyFill="1" applyAlignment="1">
      <alignment/>
    </xf>
    <xf numFmtId="172" fontId="21" fillId="0" borderId="0" xfId="42" applyNumberFormat="1" applyFont="1" applyFill="1" applyAlignment="1">
      <alignment/>
    </xf>
    <xf numFmtId="9" fontId="11" fillId="0" borderId="0" xfId="60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 quotePrefix="1">
      <alignment/>
    </xf>
    <xf numFmtId="174" fontId="10" fillId="0" borderId="0" xfId="0" applyNumberFormat="1" applyFont="1" applyFill="1" applyAlignment="1">
      <alignment/>
    </xf>
    <xf numFmtId="171" fontId="30" fillId="0" borderId="0" xfId="42" applyFont="1" applyFill="1" applyAlignment="1">
      <alignment/>
    </xf>
    <xf numFmtId="172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0" borderId="0" xfId="60" applyNumberFormat="1" applyFont="1" applyFill="1" applyBorder="1" applyAlignment="1">
      <alignment vertical="center"/>
    </xf>
    <xf numFmtId="4" fontId="30" fillId="0" borderId="0" xfId="42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</xf>
    <xf numFmtId="2" fontId="3" fillId="36" borderId="0" xfId="6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/>
    </xf>
    <xf numFmtId="0" fontId="3" fillId="6" borderId="10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6" xfId="0" applyFont="1" applyFill="1" applyBorder="1" applyAlignment="1">
      <alignment horizontal="center" vertical="center" wrapText="1"/>
    </xf>
    <xf numFmtId="2" fontId="3" fillId="6" borderId="11" xfId="42" applyNumberFormat="1" applyFont="1" applyFill="1" applyBorder="1" applyAlignment="1">
      <alignment vertical="center"/>
    </xf>
    <xf numFmtId="2" fontId="10" fillId="6" borderId="10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3" fontId="2" fillId="6" borderId="12" xfId="42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EANH\Desktop\khoi%20luong%20GTNT%202013%20BC%20UBND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g Ky lam GTNT"/>
      <sheetName val="17.10.2013"/>
      <sheetName val="10.10.2013"/>
      <sheetName val="03.10.2013"/>
      <sheetName val="26.9.2013"/>
      <sheetName val="19.9.2013 (2)"/>
      <sheetName val="19.9.2013"/>
      <sheetName val="12.9.2013"/>
      <sheetName val="05.9.2013"/>
      <sheetName val="29.8.2013 (2)"/>
      <sheetName val="29.8.2013"/>
      <sheetName val="22.8.2013"/>
      <sheetName val="15.8.2013"/>
      <sheetName val="08.8.13"/>
      <sheetName val="01.8.2013"/>
      <sheetName val="31.07"/>
      <sheetName val="25.7.2013"/>
      <sheetName val="18.7.2013"/>
      <sheetName val="11.7.2013"/>
      <sheetName val="04.7.2013"/>
      <sheetName val="5 thang"/>
      <sheetName val="xx"/>
      <sheetName val="22.6.2013"/>
      <sheetName val="LH"/>
      <sheetName val="HS"/>
      <sheetName val="VQ"/>
      <sheetName val="DT"/>
      <sheetName val="HK"/>
      <sheetName val="CL"/>
      <sheetName val="CX"/>
      <sheetName val="TH"/>
      <sheetName val="NX"/>
      <sheetName val="KA"/>
      <sheetName val="TXHL"/>
      <sheetName val="TPHT"/>
    </sheetNames>
    <sheetDataSet>
      <sheetData sheetId="33">
        <row r="8">
          <cell r="U8">
            <v>0</v>
          </cell>
          <cell r="X8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88" t="s">
        <v>15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9"/>
      <c r="S1" s="9"/>
    </row>
    <row r="2" spans="1:19" s="5" customFormat="1" ht="22.5" customHeight="1">
      <c r="A2" s="889" t="s">
        <v>16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10"/>
      <c r="S2" s="10"/>
    </row>
    <row r="3" spans="1:18" s="3" customFormat="1" ht="46.5" customHeight="1">
      <c r="A3" s="893" t="s">
        <v>0</v>
      </c>
      <c r="B3" s="887" t="s">
        <v>1</v>
      </c>
      <c r="C3" s="887" t="s">
        <v>25</v>
      </c>
      <c r="D3" s="887"/>
      <c r="E3" s="887"/>
      <c r="F3" s="887"/>
      <c r="G3" s="882" t="s">
        <v>26</v>
      </c>
      <c r="H3" s="883"/>
      <c r="I3" s="883"/>
      <c r="J3" s="883"/>
      <c r="K3" s="883"/>
      <c r="L3" s="887" t="s">
        <v>22</v>
      </c>
      <c r="M3" s="887"/>
      <c r="N3" s="887"/>
      <c r="O3" s="887"/>
      <c r="P3" s="887" t="s">
        <v>34</v>
      </c>
      <c r="Q3" s="893" t="s">
        <v>14</v>
      </c>
      <c r="R3" s="7"/>
    </row>
    <row r="4" spans="1:19" s="3" customFormat="1" ht="14.25" customHeight="1">
      <c r="A4" s="893"/>
      <c r="B4" s="887"/>
      <c r="C4" s="887" t="s">
        <v>20</v>
      </c>
      <c r="D4" s="881" t="s">
        <v>21</v>
      </c>
      <c r="E4" s="881"/>
      <c r="F4" s="881"/>
      <c r="G4" s="887" t="s">
        <v>20</v>
      </c>
      <c r="H4" s="884" t="s">
        <v>21</v>
      </c>
      <c r="I4" s="885"/>
      <c r="J4" s="885"/>
      <c r="K4" s="886"/>
      <c r="L4" s="887" t="s">
        <v>20</v>
      </c>
      <c r="M4" s="881" t="s">
        <v>21</v>
      </c>
      <c r="N4" s="881"/>
      <c r="O4" s="881"/>
      <c r="P4" s="887"/>
      <c r="Q4" s="893"/>
      <c r="R4" s="6"/>
      <c r="S4" s="4"/>
    </row>
    <row r="5" spans="1:19" s="3" customFormat="1" ht="60" customHeight="1">
      <c r="A5" s="893"/>
      <c r="B5" s="887"/>
      <c r="C5" s="887"/>
      <c r="D5" s="8" t="s">
        <v>17</v>
      </c>
      <c r="E5" s="8" t="s">
        <v>18</v>
      </c>
      <c r="F5" s="8" t="s">
        <v>19</v>
      </c>
      <c r="G5" s="887"/>
      <c r="H5" s="8" t="s">
        <v>17</v>
      </c>
      <c r="I5" s="8" t="s">
        <v>18</v>
      </c>
      <c r="J5" s="8" t="s">
        <v>19</v>
      </c>
      <c r="K5" s="8" t="s">
        <v>32</v>
      </c>
      <c r="L5" s="887"/>
      <c r="M5" s="8" t="s">
        <v>17</v>
      </c>
      <c r="N5" s="8" t="s">
        <v>18</v>
      </c>
      <c r="O5" s="8" t="s">
        <v>19</v>
      </c>
      <c r="P5" s="887"/>
      <c r="Q5" s="893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90" t="s">
        <v>23</v>
      </c>
      <c r="B18" s="891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92" t="s">
        <v>24</v>
      </c>
      <c r="P19" s="892"/>
      <c r="Q19" s="892"/>
    </row>
  </sheetData>
  <sheetProtection/>
  <mergeCells count="17"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  <mergeCell ref="D4:F4"/>
    <mergeCell ref="G3:K3"/>
    <mergeCell ref="H4:K4"/>
    <mergeCell ref="P3:P5"/>
    <mergeCell ref="L3:O3"/>
    <mergeCell ref="L4:L5"/>
    <mergeCell ref="M4:O4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6" sqref="M16:U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146"/>
      <c r="X1" s="146"/>
    </row>
    <row r="2" spans="1:24" s="148" customFormat="1" ht="22.5" customHeight="1">
      <c r="A2" s="934" t="s">
        <v>370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147"/>
      <c r="X3" s="147"/>
    </row>
    <row r="4" spans="1:23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942" t="s">
        <v>313</v>
      </c>
      <c r="W4" s="150"/>
    </row>
    <row r="5" spans="1:24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942"/>
      <c r="W5" s="152"/>
      <c r="X5" s="153"/>
    </row>
    <row r="6" spans="1:24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94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+'19.9.2013'!M20</f>
        <v>558.9700000000001</v>
      </c>
      <c r="N25" s="163">
        <f>+'19.9.2013'!N20</f>
        <v>136.097</v>
      </c>
      <c r="O25" s="163">
        <f>+'19.9.2013'!O20</f>
        <v>309.24299999999994</v>
      </c>
      <c r="P25" s="163">
        <f>+'19.9.2013'!P20</f>
        <v>112.33000000000001</v>
      </c>
      <c r="Q25" s="163">
        <f>+'19.9.2013'!Q20</f>
        <v>1.3</v>
      </c>
      <c r="R25" s="163">
        <f>+'19.9.2013'!R20</f>
        <v>77982.5</v>
      </c>
    </row>
    <row r="26" spans="12:18" ht="15">
      <c r="L26" s="831" t="s">
        <v>363</v>
      </c>
      <c r="M26" s="163">
        <f aca="true" t="shared" si="7" ref="M26:R26">+M20-M25</f>
        <v>27.577999999999975</v>
      </c>
      <c r="N26" s="163">
        <f t="shared" si="7"/>
        <v>8.338999999999999</v>
      </c>
      <c r="O26" s="163">
        <f t="shared" si="7"/>
        <v>12.673000000000059</v>
      </c>
      <c r="P26" s="163">
        <f t="shared" si="7"/>
        <v>4.666000000000011</v>
      </c>
      <c r="Q26" s="163">
        <f t="shared" si="7"/>
        <v>1.9000000000000001</v>
      </c>
      <c r="R26" s="163">
        <f t="shared" si="7"/>
        <v>1424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5" sqref="M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146"/>
      <c r="X1" s="146"/>
    </row>
    <row r="2" spans="1:24" s="148" customFormat="1" ht="22.5" customHeight="1">
      <c r="A2" s="934" t="s">
        <v>368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147"/>
      <c r="X3" s="147"/>
    </row>
    <row r="4" spans="1:23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942" t="s">
        <v>313</v>
      </c>
      <c r="W4" s="150"/>
    </row>
    <row r="5" spans="1:24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942"/>
      <c r="W5" s="152"/>
      <c r="X5" s="153"/>
    </row>
    <row r="6" spans="1:24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94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84.899</v>
      </c>
      <c r="N15" s="471">
        <v>16.2</v>
      </c>
      <c r="O15" s="471">
        <v>59.489</v>
      </c>
      <c r="P15" s="471">
        <v>9.21</v>
      </c>
      <c r="Q15" s="471"/>
      <c r="R15" s="618">
        <v>11071.27</v>
      </c>
      <c r="S15" s="604">
        <f t="shared" si="0"/>
        <v>0.9031808510638298</v>
      </c>
      <c r="T15" s="473" t="s">
        <v>360</v>
      </c>
      <c r="U15" s="756">
        <f>26.6+7.2</f>
        <v>33.800000000000004</v>
      </c>
      <c r="V15" s="646">
        <f t="shared" si="3"/>
        <v>118.69900000000001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568.6690000000002</v>
      </c>
      <c r="N20" s="821">
        <f t="shared" si="5"/>
        <v>136.877</v>
      </c>
      <c r="O20" s="820">
        <f t="shared" si="5"/>
        <v>318.282</v>
      </c>
      <c r="P20" s="820">
        <f t="shared" si="5"/>
        <v>112.21000000000002</v>
      </c>
      <c r="Q20" s="820">
        <f t="shared" si="5"/>
        <v>1.3</v>
      </c>
      <c r="R20" s="822">
        <f t="shared" si="5"/>
        <v>78249.27</v>
      </c>
      <c r="S20" s="823">
        <f t="shared" si="0"/>
        <v>0.761058500444321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666.3400000000001</v>
      </c>
    </row>
    <row r="21" spans="2:22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568.6690000000002</v>
      </c>
      <c r="N24" s="163">
        <f t="shared" si="6"/>
        <v>136.877</v>
      </c>
      <c r="O24" s="163">
        <f t="shared" si="6"/>
        <v>318.282</v>
      </c>
      <c r="P24" s="163">
        <f t="shared" si="6"/>
        <v>112.21000000000002</v>
      </c>
      <c r="Q24" s="163">
        <f t="shared" si="6"/>
        <v>1.3</v>
      </c>
      <c r="R24" s="163">
        <f t="shared" si="6"/>
        <v>78249.27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33.05100000000016</v>
      </c>
      <c r="N26" s="163">
        <f t="shared" si="7"/>
        <v>9.376999999999981</v>
      </c>
      <c r="O26" s="163">
        <f t="shared" si="7"/>
        <v>34.54199999999997</v>
      </c>
      <c r="P26" s="163">
        <f t="shared" si="7"/>
        <v>4.7520000000000095</v>
      </c>
      <c r="Q26" s="163">
        <f t="shared" si="7"/>
        <v>0</v>
      </c>
      <c r="R26" s="163">
        <f t="shared" si="7"/>
        <v>8280.37000000001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T14" sqref="T14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146"/>
      <c r="X1" s="146"/>
    </row>
    <row r="2" spans="1:24" s="148" customFormat="1" ht="22.5" customHeight="1">
      <c r="A2" s="934" t="s">
        <v>368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147"/>
      <c r="X3" s="147"/>
    </row>
    <row r="4" spans="1:23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942" t="s">
        <v>313</v>
      </c>
      <c r="W4" s="150"/>
    </row>
    <row r="5" spans="1:24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942"/>
      <c r="W5" s="152"/>
      <c r="X5" s="153"/>
    </row>
    <row r="6" spans="1:24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94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77982.5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77982.5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L5:L6"/>
    <mergeCell ref="M5:M6"/>
    <mergeCell ref="G4:L4"/>
    <mergeCell ref="M4:R4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146"/>
      <c r="X1" s="146"/>
    </row>
    <row r="2" spans="1:24" s="148" customFormat="1" ht="22.5" customHeight="1">
      <c r="A2" s="934" t="s">
        <v>367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147"/>
      <c r="X3" s="147"/>
    </row>
    <row r="4" spans="1:23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942" t="s">
        <v>313</v>
      </c>
      <c r="W4" s="150"/>
    </row>
    <row r="5" spans="1:24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942"/>
      <c r="W5" s="152"/>
      <c r="X5" s="153"/>
    </row>
    <row r="6" spans="1:24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94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76594.8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76594.8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146"/>
      <c r="X1" s="146"/>
    </row>
    <row r="2" spans="1:24" s="148" customFormat="1" ht="22.5" customHeight="1">
      <c r="A2" s="934" t="s">
        <v>356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147"/>
      <c r="X3" s="147"/>
    </row>
    <row r="4" spans="1:23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942" t="s">
        <v>313</v>
      </c>
      <c r="W4" s="150"/>
    </row>
    <row r="5" spans="1:24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942"/>
      <c r="W5" s="152"/>
      <c r="X5" s="153"/>
    </row>
    <row r="6" spans="1:24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94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69968.9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69968.9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67845.25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146"/>
      <c r="X1" s="146"/>
    </row>
    <row r="2" spans="1:24" s="148" customFormat="1" ht="22.5" customHeight="1">
      <c r="A2" s="934" t="s">
        <v>348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147"/>
      <c r="X3" s="147"/>
    </row>
    <row r="4" spans="1:23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942" t="s">
        <v>313</v>
      </c>
      <c r="W4" s="150"/>
    </row>
    <row r="5" spans="1:24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942"/>
      <c r="W5" s="152"/>
      <c r="X5" s="153"/>
    </row>
    <row r="6" spans="1:24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94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68073.59000000001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12352.590000000011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16.732000000000085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146"/>
      <c r="X1" s="146"/>
    </row>
    <row r="2" spans="1:24" s="148" customFormat="1" ht="22.5" customHeight="1">
      <c r="A2" s="934" t="s">
        <v>348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147"/>
      <c r="X3" s="147"/>
    </row>
    <row r="4" spans="1:23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942" t="s">
        <v>313</v>
      </c>
      <c r="W4" s="150"/>
    </row>
    <row r="5" spans="1:24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942"/>
      <c r="W5" s="152"/>
      <c r="X5" s="153"/>
    </row>
    <row r="6" spans="1:24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94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146"/>
      <c r="X1" s="146"/>
    </row>
    <row r="2" spans="1:24" s="148" customFormat="1" ht="22.5" customHeight="1">
      <c r="A2" s="934" t="s">
        <v>342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147"/>
      <c r="X3" s="147"/>
    </row>
    <row r="4" spans="1:23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942" t="s">
        <v>313</v>
      </c>
      <c r="W4" s="150"/>
    </row>
    <row r="5" spans="1:24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942"/>
      <c r="W5" s="152"/>
      <c r="X5" s="153"/>
    </row>
    <row r="6" spans="1:24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94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146"/>
      <c r="X1" s="146"/>
    </row>
    <row r="2" spans="1:24" s="148" customFormat="1" ht="22.5" customHeight="1">
      <c r="A2" s="934" t="s">
        <v>331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147"/>
      <c r="X3" s="147"/>
    </row>
    <row r="4" spans="1:23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942" t="s">
        <v>313</v>
      </c>
      <c r="W4" s="150"/>
    </row>
    <row r="5" spans="1:24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942"/>
      <c r="W5" s="152"/>
      <c r="X5" s="153"/>
    </row>
    <row r="6" spans="1:24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942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945" t="s">
        <v>23</v>
      </c>
      <c r="B20" s="94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146"/>
      <c r="X1" s="146"/>
    </row>
    <row r="2" spans="1:24" s="148" customFormat="1" ht="22.5" customHeight="1">
      <c r="A2" s="934" t="s">
        <v>330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147"/>
      <c r="X3" s="147"/>
    </row>
    <row r="4" spans="1:23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942" t="s">
        <v>313</v>
      </c>
      <c r="W4" s="150"/>
    </row>
    <row r="5" spans="1:24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942"/>
      <c r="W5" s="152"/>
      <c r="X5" s="153"/>
    </row>
    <row r="6" spans="1:24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942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945" t="s">
        <v>23</v>
      </c>
      <c r="B20" s="94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G4:L4"/>
    <mergeCell ref="M4:R4"/>
    <mergeCell ref="V4:V6"/>
    <mergeCell ref="C5:C6"/>
    <mergeCell ref="D5:F5"/>
    <mergeCell ref="G5:G6"/>
    <mergeCell ref="H5:K5"/>
    <mergeCell ref="L5:L6"/>
    <mergeCell ref="N5:Q5"/>
    <mergeCell ref="R5:R6"/>
    <mergeCell ref="A20:B20"/>
    <mergeCell ref="B21:T21"/>
    <mergeCell ref="M5:M6"/>
    <mergeCell ref="S4:S6"/>
    <mergeCell ref="T4:T6"/>
    <mergeCell ref="U4:U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workbookViewId="0" topLeftCell="A7">
      <selection activeCell="R15" sqref="R15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7.875" style="68" bestFit="1" customWidth="1"/>
    <col min="30" max="30" width="8.125" style="68" customWidth="1"/>
    <col min="31" max="33" width="9.00390625" style="68" customWidth="1"/>
    <col min="34" max="16384" width="9.00390625" style="68" customWidth="1"/>
  </cols>
  <sheetData>
    <row r="1" spans="1:30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32"/>
      <c r="AB1" s="832"/>
      <c r="AC1" s="833"/>
      <c r="AD1" s="833"/>
    </row>
    <row r="2" spans="1:30" s="569" customFormat="1" ht="22.5" customHeight="1">
      <c r="A2" s="895" t="s">
        <v>406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34"/>
      <c r="AB2" s="834"/>
      <c r="AC2" s="835"/>
      <c r="AD2" s="835"/>
    </row>
    <row r="3" spans="1:30" s="569" customFormat="1" ht="15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36"/>
      <c r="AB3" s="836"/>
      <c r="AC3" s="835"/>
      <c r="AD3" s="835"/>
    </row>
    <row r="4" spans="1:29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0" t="s">
        <v>399</v>
      </c>
      <c r="N4" s="901"/>
      <c r="O4" s="901"/>
      <c r="P4" s="901"/>
      <c r="Q4" s="901"/>
      <c r="R4" s="902"/>
      <c r="S4" s="903" t="s">
        <v>307</v>
      </c>
      <c r="T4" s="904"/>
      <c r="U4" s="904"/>
      <c r="V4" s="904"/>
      <c r="W4" s="904"/>
      <c r="X4" s="905"/>
      <c r="Y4" s="898" t="s">
        <v>43</v>
      </c>
      <c r="Z4" s="897" t="s">
        <v>14</v>
      </c>
      <c r="AA4" s="898" t="s">
        <v>329</v>
      </c>
      <c r="AB4" s="906" t="s">
        <v>313</v>
      </c>
      <c r="AC4" s="837"/>
    </row>
    <row r="5" spans="1:30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08" t="s">
        <v>21</v>
      </c>
      <c r="O5" s="908"/>
      <c r="P5" s="908"/>
      <c r="Q5" s="908"/>
      <c r="R5" s="909" t="s">
        <v>202</v>
      </c>
      <c r="S5" s="898" t="s">
        <v>38</v>
      </c>
      <c r="T5" s="911" t="s">
        <v>21</v>
      </c>
      <c r="U5" s="912"/>
      <c r="V5" s="912"/>
      <c r="W5" s="913"/>
      <c r="X5" s="909" t="s">
        <v>37</v>
      </c>
      <c r="Y5" s="898"/>
      <c r="Z5" s="897"/>
      <c r="AA5" s="898"/>
      <c r="AB5" s="906"/>
      <c r="AC5" s="839"/>
      <c r="AD5" s="840"/>
    </row>
    <row r="6" spans="1:31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42" t="s">
        <v>39</v>
      </c>
      <c r="U6" s="842" t="s">
        <v>40</v>
      </c>
      <c r="V6" s="842" t="s">
        <v>41</v>
      </c>
      <c r="W6" s="842" t="s">
        <v>42</v>
      </c>
      <c r="X6" s="910"/>
      <c r="Y6" s="898"/>
      <c r="Z6" s="897"/>
      <c r="AA6" s="898"/>
      <c r="AB6" s="906"/>
      <c r="AC6" s="843" t="s">
        <v>404</v>
      </c>
      <c r="AD6" s="840" t="s">
        <v>354</v>
      </c>
      <c r="AE6" s="838" t="s">
        <v>405</v>
      </c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30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>
        <v>4.15</v>
      </c>
      <c r="AD8" s="68">
        <v>4.15</v>
      </c>
    </row>
    <row r="9" spans="1:30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41.72</v>
      </c>
      <c r="T9" s="344">
        <v>11.39</v>
      </c>
      <c r="U9" s="514">
        <v>25.06</v>
      </c>
      <c r="V9" s="344">
        <v>5.27</v>
      </c>
      <c r="W9" s="344"/>
      <c r="X9" s="827">
        <v>7782.35</v>
      </c>
      <c r="Y9" s="604">
        <f aca="true" t="shared" si="3" ref="Y9:Y19">+S9/M9</f>
        <v>0.6330804248861913</v>
      </c>
      <c r="Z9" s="828" t="s">
        <v>382</v>
      </c>
      <c r="AA9" s="756">
        <f>3.34+2.44+9.8</f>
        <v>15.58</v>
      </c>
      <c r="AB9" s="646">
        <f aca="true" t="shared" si="4" ref="AB9:AB19">+S9+AA9</f>
        <v>57.3</v>
      </c>
      <c r="AC9" s="68">
        <v>2.44</v>
      </c>
      <c r="AD9" s="68">
        <v>2.44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34.905</v>
      </c>
      <c r="T10" s="471">
        <v>7.55</v>
      </c>
      <c r="U10" s="471">
        <v>17.115</v>
      </c>
      <c r="V10" s="471">
        <v>10.24</v>
      </c>
      <c r="W10" s="471"/>
      <c r="X10" s="618">
        <v>5868</v>
      </c>
      <c r="Y10" s="604">
        <f t="shared" si="3"/>
        <v>0.7754943345923128</v>
      </c>
      <c r="Z10" s="473" t="s">
        <v>383</v>
      </c>
      <c r="AA10" s="756">
        <f>0.8+23.99</f>
        <v>24.79</v>
      </c>
      <c r="AB10" s="646">
        <f t="shared" si="4"/>
        <v>59.695</v>
      </c>
      <c r="AC10" s="68">
        <v>0.8</v>
      </c>
      <c r="AE10" s="77">
        <v>0.8</v>
      </c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23.560000000000002</v>
      </c>
      <c r="T11" s="471">
        <f>0.3+3.13</f>
        <v>3.4299999999999997</v>
      </c>
      <c r="U11" s="471">
        <f>6.4+2.44+0.5</f>
        <v>9.34</v>
      </c>
      <c r="V11" s="471">
        <f>0.49+10.3</f>
        <v>10.790000000000001</v>
      </c>
      <c r="W11" s="471"/>
      <c r="X11" s="618">
        <f>76+1915</f>
        <v>1991</v>
      </c>
      <c r="Y11" s="604">
        <f t="shared" si="3"/>
        <v>0.7669270833333334</v>
      </c>
      <c r="Z11" s="828" t="s">
        <v>391</v>
      </c>
      <c r="AA11" s="756">
        <f>14.1+7.32</f>
        <v>21.42</v>
      </c>
      <c r="AB11" s="646">
        <f t="shared" si="4"/>
        <v>44.980000000000004</v>
      </c>
      <c r="AC11" s="68">
        <v>7.32</v>
      </c>
      <c r="AD11" s="77">
        <v>7.32</v>
      </c>
    </row>
    <row r="12" spans="1:31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  <c r="AC12" s="68">
        <f>4.31+1.73</f>
        <v>6.039999999999999</v>
      </c>
      <c r="AD12" s="68">
        <v>4.31</v>
      </c>
      <c r="AE12" s="68">
        <v>1.73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3"/>
        <v>0.7185139249069795</v>
      </c>
      <c r="Z13" s="828" t="s">
        <v>393</v>
      </c>
      <c r="AA13" s="756">
        <v>12.2</v>
      </c>
      <c r="AB13" s="646">
        <f t="shared" si="4"/>
        <v>75.92500000000001</v>
      </c>
    </row>
    <row r="14" spans="1:3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14.46+4</f>
        <v>18.46</v>
      </c>
      <c r="AD14" s="68">
        <v>14.46</v>
      </c>
      <c r="AE14" s="68">
        <v>4</v>
      </c>
    </row>
    <row r="15" spans="1:31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99.03999999999999</v>
      </c>
      <c r="T15" s="471">
        <v>19.86</v>
      </c>
      <c r="U15" s="471">
        <v>68.36</v>
      </c>
      <c r="V15" s="471">
        <v>10.82</v>
      </c>
      <c r="W15" s="471"/>
      <c r="X15" s="618">
        <v>12293.1</v>
      </c>
      <c r="Y15" s="604">
        <f t="shared" si="3"/>
        <v>0.8913689136891368</v>
      </c>
      <c r="Z15" s="473" t="s">
        <v>390</v>
      </c>
      <c r="AA15" s="756">
        <f>39.7+11.55</f>
        <v>51.25</v>
      </c>
      <c r="AB15" s="646">
        <f>+S15+AA15</f>
        <v>150.29</v>
      </c>
      <c r="AC15" s="68">
        <v>11.55</v>
      </c>
      <c r="AE15" s="68">
        <v>11.55</v>
      </c>
    </row>
    <row r="16" spans="1:30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>
        <v>1</v>
      </c>
      <c r="AD16" s="68">
        <v>1</v>
      </c>
    </row>
    <row r="17" spans="1:30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93.37</v>
      </c>
      <c r="T17" s="471">
        <v>38.34</v>
      </c>
      <c r="U17" s="471">
        <v>53.3</v>
      </c>
      <c r="V17" s="471">
        <v>1.73</v>
      </c>
      <c r="W17" s="471"/>
      <c r="X17" s="618">
        <v>11542.5</v>
      </c>
      <c r="Y17" s="604">
        <f t="shared" si="3"/>
        <v>0.9208086785009861</v>
      </c>
      <c r="Z17" s="828" t="s">
        <v>387</v>
      </c>
      <c r="AA17" s="756">
        <f>13.49+6.95</f>
        <v>20.44</v>
      </c>
      <c r="AB17" s="646">
        <f t="shared" si="4"/>
        <v>113.81</v>
      </c>
      <c r="AC17" s="77">
        <v>6.95</v>
      </c>
      <c r="AD17" s="68">
        <v>6.95</v>
      </c>
    </row>
    <row r="18" spans="1:3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  <c r="AC18" s="68">
        <v>5.78</v>
      </c>
      <c r="AE18" s="68">
        <v>5.78</v>
      </c>
    </row>
    <row r="19" spans="1:3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3"/>
        <v>0.9835227272727272</v>
      </c>
      <c r="Z19" s="587" t="s">
        <v>395</v>
      </c>
      <c r="AA19" s="758">
        <v>6.06</v>
      </c>
      <c r="AB19" s="646">
        <f t="shared" si="4"/>
        <v>23.369999999999997</v>
      </c>
      <c r="AC19" s="68">
        <v>6.06</v>
      </c>
      <c r="AE19" s="68">
        <v>6.06</v>
      </c>
    </row>
    <row r="20" spans="1:31" ht="21.75" customHeight="1">
      <c r="A20" s="914" t="s">
        <v>23</v>
      </c>
      <c r="B20" s="915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644.057</v>
      </c>
      <c r="T20" s="821">
        <f t="shared" si="6"/>
        <v>144.97700000000003</v>
      </c>
      <c r="U20" s="820">
        <f t="shared" si="6"/>
        <v>369.10200000000003</v>
      </c>
      <c r="V20" s="820">
        <f t="shared" si="6"/>
        <v>128.038</v>
      </c>
      <c r="W20" s="820">
        <f t="shared" si="6"/>
        <v>1.94</v>
      </c>
      <c r="X20" s="822">
        <f t="shared" si="6"/>
        <v>89595.6</v>
      </c>
      <c r="Y20" s="823">
        <f>+S20/G20</f>
        <v>0.823890979703886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868.6370000000001</v>
      </c>
      <c r="AC20" s="850">
        <f>SUM(AC8:AC19)</f>
        <v>70.55000000000001</v>
      </c>
      <c r="AD20" s="850">
        <f>SUM(AD8:AD19)</f>
        <v>40.63</v>
      </c>
      <c r="AE20" s="850">
        <f>SUM(AE8:AE19)</f>
        <v>29.92</v>
      </c>
    </row>
    <row r="21" spans="2:30" ht="15">
      <c r="B21" s="916" t="s">
        <v>407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851"/>
      <c r="AB21" s="852">
        <f>+AA20-AD20-AE20</f>
        <v>154.02999999999997</v>
      </c>
      <c r="AD21" s="77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644.057</v>
      </c>
      <c r="T24" s="854">
        <f t="shared" si="7"/>
        <v>144.97700000000003</v>
      </c>
      <c r="U24" s="854">
        <f t="shared" si="7"/>
        <v>369.10200000000003</v>
      </c>
      <c r="V24" s="854">
        <f t="shared" si="7"/>
        <v>128.038</v>
      </c>
      <c r="W24" s="854">
        <f t="shared" si="7"/>
        <v>1.94</v>
      </c>
      <c r="X24" s="854">
        <f t="shared" si="7"/>
        <v>89595.6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+'07.11.2013'!S20</f>
        <v>635.181</v>
      </c>
      <c r="T25" s="854">
        <f>+'07.11.2013'!T20</f>
        <v>142.957</v>
      </c>
      <c r="U25" s="854">
        <f>+'07.11.2013'!U20</f>
        <v>363.422</v>
      </c>
      <c r="V25" s="854">
        <f>+'07.11.2013'!V20</f>
        <v>125.56200000000001</v>
      </c>
      <c r="W25" s="854">
        <f>+'07.11.2013'!W20</f>
        <v>3.24</v>
      </c>
      <c r="X25" s="854">
        <f>+'07.11.2013'!X20</f>
        <v>86581.8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8.875999999999976</v>
      </c>
      <c r="T26" s="854">
        <f t="shared" si="8"/>
        <v>2.0200000000000387</v>
      </c>
      <c r="U26" s="854">
        <f t="shared" si="8"/>
        <v>5.680000000000007</v>
      </c>
      <c r="V26" s="854">
        <f t="shared" si="8"/>
        <v>2.475999999999999</v>
      </c>
      <c r="W26" s="854">
        <f t="shared" si="8"/>
        <v>-1.3000000000000003</v>
      </c>
      <c r="X26" s="854">
        <f t="shared" si="8"/>
        <v>3013.800000000003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  <c r="AA1" s="933"/>
      <c r="AB1" s="933"/>
      <c r="AC1" s="933"/>
      <c r="AD1" s="933"/>
      <c r="AE1" s="933"/>
      <c r="AF1" s="933"/>
      <c r="AG1" s="636"/>
      <c r="AH1" s="636"/>
      <c r="AI1" s="146"/>
      <c r="AJ1" s="146"/>
    </row>
    <row r="2" spans="1:36" s="148" customFormat="1" ht="22.5" customHeight="1">
      <c r="A2" s="934" t="s">
        <v>324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637"/>
      <c r="AH2" s="637"/>
      <c r="AI2" s="147"/>
      <c r="AJ2" s="147"/>
    </row>
    <row r="3" spans="1:36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658"/>
      <c r="AH3" s="658"/>
      <c r="AI3" s="147"/>
      <c r="AJ3" s="147"/>
    </row>
    <row r="4" spans="1:35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47" t="s">
        <v>323</v>
      </c>
      <c r="N4" s="948"/>
      <c r="O4" s="948"/>
      <c r="P4" s="948"/>
      <c r="Q4" s="948"/>
      <c r="R4" s="949"/>
      <c r="S4" s="925" t="s">
        <v>325</v>
      </c>
      <c r="T4" s="926"/>
      <c r="U4" s="926"/>
      <c r="V4" s="926"/>
      <c r="W4" s="926"/>
      <c r="X4" s="927"/>
      <c r="Y4" s="925" t="s">
        <v>307</v>
      </c>
      <c r="Z4" s="926"/>
      <c r="AA4" s="926"/>
      <c r="AB4" s="926"/>
      <c r="AC4" s="926"/>
      <c r="AD4" s="927"/>
      <c r="AE4" s="941" t="s">
        <v>43</v>
      </c>
      <c r="AF4" s="936" t="s">
        <v>14</v>
      </c>
      <c r="AG4" s="941" t="s">
        <v>327</v>
      </c>
      <c r="AH4" s="942" t="s">
        <v>313</v>
      </c>
      <c r="AI4" s="150"/>
    </row>
    <row r="5" spans="1:36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50" t="s">
        <v>38</v>
      </c>
      <c r="N5" s="951" t="s">
        <v>21</v>
      </c>
      <c r="O5" s="952"/>
      <c r="P5" s="952"/>
      <c r="Q5" s="953"/>
      <c r="R5" s="954" t="s">
        <v>37</v>
      </c>
      <c r="S5" s="937" t="s">
        <v>38</v>
      </c>
      <c r="T5" s="928" t="s">
        <v>21</v>
      </c>
      <c r="U5" s="929"/>
      <c r="V5" s="929"/>
      <c r="W5" s="930"/>
      <c r="X5" s="931" t="s">
        <v>37</v>
      </c>
      <c r="Y5" s="937" t="s">
        <v>38</v>
      </c>
      <c r="Z5" s="928" t="s">
        <v>21</v>
      </c>
      <c r="AA5" s="929"/>
      <c r="AB5" s="929"/>
      <c r="AC5" s="930"/>
      <c r="AD5" s="931" t="s">
        <v>37</v>
      </c>
      <c r="AE5" s="941"/>
      <c r="AF5" s="936"/>
      <c r="AG5" s="941"/>
      <c r="AH5" s="942"/>
      <c r="AI5" s="152"/>
      <c r="AJ5" s="153"/>
    </row>
    <row r="6" spans="1:36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50"/>
      <c r="N6" s="729" t="s">
        <v>39</v>
      </c>
      <c r="O6" s="729" t="s">
        <v>40</v>
      </c>
      <c r="P6" s="729" t="s">
        <v>41</v>
      </c>
      <c r="Q6" s="729" t="s">
        <v>42</v>
      </c>
      <c r="R6" s="955"/>
      <c r="S6" s="937"/>
      <c r="T6" s="149" t="s">
        <v>39</v>
      </c>
      <c r="U6" s="149" t="s">
        <v>40</v>
      </c>
      <c r="V6" s="149" t="s">
        <v>41</v>
      </c>
      <c r="W6" s="149" t="s">
        <v>42</v>
      </c>
      <c r="X6" s="932"/>
      <c r="Y6" s="937"/>
      <c r="Z6" s="149" t="s">
        <v>39</v>
      </c>
      <c r="AA6" s="149" t="s">
        <v>40</v>
      </c>
      <c r="AB6" s="149" t="s">
        <v>41</v>
      </c>
      <c r="AC6" s="149" t="s">
        <v>42</v>
      </c>
      <c r="AD6" s="932"/>
      <c r="AE6" s="941"/>
      <c r="AF6" s="936"/>
      <c r="AG6" s="941"/>
      <c r="AH6" s="942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945" t="s">
        <v>23</v>
      </c>
      <c r="B20" s="946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0"/>
      <c r="AA21" s="940"/>
      <c r="AB21" s="940"/>
      <c r="AC21" s="940"/>
      <c r="AD21" s="940"/>
      <c r="AE21" s="940"/>
      <c r="AF21" s="940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G16" sqref="G16:AF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  <c r="AA1" s="933"/>
      <c r="AB1" s="933"/>
      <c r="AC1" s="933"/>
      <c r="AD1" s="933"/>
      <c r="AE1" s="933"/>
      <c r="AF1" s="933"/>
      <c r="AG1" s="636"/>
      <c r="AH1" s="636"/>
      <c r="AI1" s="146"/>
      <c r="AJ1" s="146"/>
    </row>
    <row r="2" spans="1:36" s="148" customFormat="1" ht="22.5" customHeight="1">
      <c r="A2" s="934" t="s">
        <v>332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637"/>
      <c r="AH2" s="637"/>
      <c r="AI2" s="147"/>
      <c r="AJ2" s="147"/>
    </row>
    <row r="3" spans="1:36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658"/>
      <c r="AH3" s="658"/>
      <c r="AI3" s="147"/>
      <c r="AJ3" s="147"/>
    </row>
    <row r="4" spans="1:35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47" t="s">
        <v>323</v>
      </c>
      <c r="N4" s="948"/>
      <c r="O4" s="948"/>
      <c r="P4" s="948"/>
      <c r="Q4" s="948"/>
      <c r="R4" s="949"/>
      <c r="S4" s="925" t="s">
        <v>325</v>
      </c>
      <c r="T4" s="926"/>
      <c r="U4" s="926"/>
      <c r="V4" s="926"/>
      <c r="W4" s="926"/>
      <c r="X4" s="927"/>
      <c r="Y4" s="925" t="s">
        <v>307</v>
      </c>
      <c r="Z4" s="926"/>
      <c r="AA4" s="926"/>
      <c r="AB4" s="926"/>
      <c r="AC4" s="926"/>
      <c r="AD4" s="927"/>
      <c r="AE4" s="941" t="s">
        <v>43</v>
      </c>
      <c r="AF4" s="936" t="s">
        <v>14</v>
      </c>
      <c r="AG4" s="941" t="s">
        <v>333</v>
      </c>
      <c r="AH4" s="942" t="s">
        <v>313</v>
      </c>
      <c r="AI4" s="150"/>
    </row>
    <row r="5" spans="1:36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50" t="s">
        <v>38</v>
      </c>
      <c r="N5" s="951" t="s">
        <v>21</v>
      </c>
      <c r="O5" s="952"/>
      <c r="P5" s="952"/>
      <c r="Q5" s="953"/>
      <c r="R5" s="954" t="s">
        <v>37</v>
      </c>
      <c r="S5" s="937" t="s">
        <v>38</v>
      </c>
      <c r="T5" s="928" t="s">
        <v>21</v>
      </c>
      <c r="U5" s="929"/>
      <c r="V5" s="929"/>
      <c r="W5" s="930"/>
      <c r="X5" s="931" t="s">
        <v>37</v>
      </c>
      <c r="Y5" s="937" t="s">
        <v>38</v>
      </c>
      <c r="Z5" s="928" t="s">
        <v>21</v>
      </c>
      <c r="AA5" s="929"/>
      <c r="AB5" s="929"/>
      <c r="AC5" s="930"/>
      <c r="AD5" s="931" t="s">
        <v>37</v>
      </c>
      <c r="AE5" s="941"/>
      <c r="AF5" s="936"/>
      <c r="AG5" s="941"/>
      <c r="AH5" s="942"/>
      <c r="AI5" s="152"/>
      <c r="AJ5" s="153"/>
    </row>
    <row r="6" spans="1:36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50"/>
      <c r="N6" s="729" t="s">
        <v>39</v>
      </c>
      <c r="O6" s="729" t="s">
        <v>40</v>
      </c>
      <c r="P6" s="729" t="s">
        <v>41</v>
      </c>
      <c r="Q6" s="729" t="s">
        <v>42</v>
      </c>
      <c r="R6" s="955"/>
      <c r="S6" s="937"/>
      <c r="T6" s="149" t="s">
        <v>39</v>
      </c>
      <c r="U6" s="149" t="s">
        <v>40</v>
      </c>
      <c r="V6" s="149" t="s">
        <v>41</v>
      </c>
      <c r="W6" s="149" t="s">
        <v>42</v>
      </c>
      <c r="X6" s="932"/>
      <c r="Y6" s="937"/>
      <c r="Z6" s="149" t="s">
        <v>39</v>
      </c>
      <c r="AA6" s="149" t="s">
        <v>40</v>
      </c>
      <c r="AB6" s="149" t="s">
        <v>41</v>
      </c>
      <c r="AC6" s="149" t="s">
        <v>42</v>
      </c>
      <c r="AD6" s="932"/>
      <c r="AE6" s="941"/>
      <c r="AF6" s="936"/>
      <c r="AG6" s="941"/>
      <c r="AH6" s="942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945" t="s">
        <v>23</v>
      </c>
      <c r="B20" s="946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0"/>
      <c r="AA21" s="940"/>
      <c r="AB21" s="940"/>
      <c r="AC21" s="940"/>
      <c r="AD21" s="940"/>
      <c r="AE21" s="940"/>
      <c r="AF21" s="940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  <c r="AA1" s="636"/>
      <c r="AB1" s="146"/>
      <c r="AC1" s="146"/>
    </row>
    <row r="2" spans="1:29" s="148" customFormat="1" ht="22.5" customHeight="1">
      <c r="A2" s="934" t="s">
        <v>326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637"/>
      <c r="AB2" s="147"/>
      <c r="AC2" s="147"/>
    </row>
    <row r="3" spans="1:29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658"/>
      <c r="AB3" s="147"/>
      <c r="AC3" s="147"/>
    </row>
    <row r="4" spans="1:28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2"/>
      <c r="N4" s="923"/>
      <c r="O4" s="923"/>
      <c r="P4" s="923"/>
      <c r="Q4" s="923"/>
      <c r="R4" s="924"/>
      <c r="S4" s="925" t="s">
        <v>307</v>
      </c>
      <c r="T4" s="926"/>
      <c r="U4" s="926"/>
      <c r="V4" s="926"/>
      <c r="W4" s="926"/>
      <c r="X4" s="927"/>
      <c r="Y4" s="941" t="s">
        <v>43</v>
      </c>
      <c r="Z4" s="936" t="s">
        <v>14</v>
      </c>
      <c r="AA4" s="942" t="s">
        <v>313</v>
      </c>
      <c r="AB4" s="150"/>
    </row>
    <row r="5" spans="1:29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37" t="s">
        <v>38</v>
      </c>
      <c r="T5" s="928" t="s">
        <v>21</v>
      </c>
      <c r="U5" s="929"/>
      <c r="V5" s="929"/>
      <c r="W5" s="930"/>
      <c r="X5" s="931" t="s">
        <v>37</v>
      </c>
      <c r="Y5" s="941"/>
      <c r="Z5" s="936"/>
      <c r="AA5" s="942"/>
      <c r="AB5" s="152"/>
      <c r="AC5" s="153"/>
    </row>
    <row r="6" spans="1:29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37"/>
      <c r="T6" s="149" t="s">
        <v>39</v>
      </c>
      <c r="U6" s="149" t="s">
        <v>40</v>
      </c>
      <c r="V6" s="149" t="s">
        <v>41</v>
      </c>
      <c r="W6" s="149" t="s">
        <v>42</v>
      </c>
      <c r="X6" s="932"/>
      <c r="Y6" s="941"/>
      <c r="Z6" s="936"/>
      <c r="AA6" s="94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0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  <c r="AA1" s="636"/>
      <c r="AB1" s="146"/>
      <c r="AC1" s="146"/>
    </row>
    <row r="2" spans="1:29" s="148" customFormat="1" ht="22.5" customHeight="1">
      <c r="A2" s="934" t="s">
        <v>318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637"/>
      <c r="AB2" s="147"/>
      <c r="AC2" s="147"/>
    </row>
    <row r="3" spans="1:29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658"/>
      <c r="AB3" s="147"/>
      <c r="AC3" s="147"/>
    </row>
    <row r="4" spans="1:28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2"/>
      <c r="N4" s="923"/>
      <c r="O4" s="923"/>
      <c r="P4" s="923"/>
      <c r="Q4" s="923"/>
      <c r="R4" s="924"/>
      <c r="S4" s="925" t="s">
        <v>307</v>
      </c>
      <c r="T4" s="926"/>
      <c r="U4" s="926"/>
      <c r="V4" s="926"/>
      <c r="W4" s="926"/>
      <c r="X4" s="927"/>
      <c r="Y4" s="941" t="s">
        <v>43</v>
      </c>
      <c r="Z4" s="936" t="s">
        <v>14</v>
      </c>
      <c r="AA4" s="942" t="s">
        <v>313</v>
      </c>
      <c r="AB4" s="150"/>
    </row>
    <row r="5" spans="1:29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37" t="s">
        <v>38</v>
      </c>
      <c r="T5" s="928" t="s">
        <v>21</v>
      </c>
      <c r="U5" s="929"/>
      <c r="V5" s="929"/>
      <c r="W5" s="930"/>
      <c r="X5" s="931" t="s">
        <v>37</v>
      </c>
      <c r="Y5" s="941"/>
      <c r="Z5" s="936"/>
      <c r="AA5" s="942"/>
      <c r="AB5" s="152"/>
      <c r="AC5" s="153"/>
    </row>
    <row r="6" spans="1:29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37"/>
      <c r="T6" s="149" t="s">
        <v>39</v>
      </c>
      <c r="U6" s="149" t="s">
        <v>40</v>
      </c>
      <c r="V6" s="149" t="s">
        <v>41</v>
      </c>
      <c r="W6" s="149" t="s">
        <v>42</v>
      </c>
      <c r="X6" s="932"/>
      <c r="Y6" s="941"/>
      <c r="Z6" s="936"/>
      <c r="AA6" s="94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0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  <c r="AA1" s="636"/>
      <c r="AB1" s="146"/>
      <c r="AC1" s="146"/>
    </row>
    <row r="2" spans="1:29" s="148" customFormat="1" ht="22.5" customHeight="1">
      <c r="A2" s="934" t="s">
        <v>317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637"/>
      <c r="AB2" s="147"/>
      <c r="AC2" s="147"/>
    </row>
    <row r="3" spans="1:29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658"/>
      <c r="AB3" s="147"/>
      <c r="AC3" s="147"/>
    </row>
    <row r="4" spans="1:28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2"/>
      <c r="N4" s="923"/>
      <c r="O4" s="923"/>
      <c r="P4" s="923"/>
      <c r="Q4" s="923"/>
      <c r="R4" s="924"/>
      <c r="S4" s="925" t="s">
        <v>307</v>
      </c>
      <c r="T4" s="926"/>
      <c r="U4" s="926"/>
      <c r="V4" s="926"/>
      <c r="W4" s="926"/>
      <c r="X4" s="927"/>
      <c r="Y4" s="941" t="s">
        <v>43</v>
      </c>
      <c r="Z4" s="936" t="s">
        <v>14</v>
      </c>
      <c r="AA4" s="942" t="s">
        <v>313</v>
      </c>
      <c r="AB4" s="150"/>
    </row>
    <row r="5" spans="1:29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37" t="s">
        <v>38</v>
      </c>
      <c r="T5" s="928" t="s">
        <v>21</v>
      </c>
      <c r="U5" s="929"/>
      <c r="V5" s="929"/>
      <c r="W5" s="930"/>
      <c r="X5" s="931" t="s">
        <v>37</v>
      </c>
      <c r="Y5" s="941"/>
      <c r="Z5" s="936"/>
      <c r="AA5" s="942"/>
      <c r="AB5" s="152"/>
      <c r="AC5" s="153"/>
    </row>
    <row r="6" spans="1:29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37"/>
      <c r="T6" s="149" t="s">
        <v>39</v>
      </c>
      <c r="U6" s="149" t="s">
        <v>40</v>
      </c>
      <c r="V6" s="149" t="s">
        <v>41</v>
      </c>
      <c r="W6" s="149" t="s">
        <v>42</v>
      </c>
      <c r="X6" s="932"/>
      <c r="Y6" s="941"/>
      <c r="Z6" s="936"/>
      <c r="AA6" s="94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0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  <c r="AA1" s="636"/>
      <c r="AB1" s="146"/>
      <c r="AC1" s="146"/>
    </row>
    <row r="2" spans="1:29" s="148" customFormat="1" ht="22.5" customHeight="1">
      <c r="A2" s="934" t="s">
        <v>306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637"/>
      <c r="AB2" s="147"/>
      <c r="AC2" s="147"/>
    </row>
    <row r="3" spans="1:29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658"/>
      <c r="AB3" s="147"/>
      <c r="AC3" s="147"/>
    </row>
    <row r="4" spans="1:28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62"/>
      <c r="N4" s="963"/>
      <c r="O4" s="963"/>
      <c r="P4" s="963"/>
      <c r="Q4" s="963"/>
      <c r="R4" s="964"/>
      <c r="S4" s="925" t="s">
        <v>307</v>
      </c>
      <c r="T4" s="926"/>
      <c r="U4" s="926"/>
      <c r="V4" s="926"/>
      <c r="W4" s="926"/>
      <c r="X4" s="927"/>
      <c r="Y4" s="941" t="s">
        <v>43</v>
      </c>
      <c r="Z4" s="936" t="s">
        <v>14</v>
      </c>
      <c r="AA4" s="942" t="s">
        <v>313</v>
      </c>
      <c r="AB4" s="150"/>
    </row>
    <row r="5" spans="1:29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56" t="s">
        <v>38</v>
      </c>
      <c r="N5" s="957" t="s">
        <v>21</v>
      </c>
      <c r="O5" s="958"/>
      <c r="P5" s="958"/>
      <c r="Q5" s="959"/>
      <c r="R5" s="960" t="s">
        <v>37</v>
      </c>
      <c r="S5" s="937" t="s">
        <v>38</v>
      </c>
      <c r="T5" s="928" t="s">
        <v>21</v>
      </c>
      <c r="U5" s="929"/>
      <c r="V5" s="929"/>
      <c r="W5" s="930"/>
      <c r="X5" s="931" t="s">
        <v>37</v>
      </c>
      <c r="Y5" s="941"/>
      <c r="Z5" s="936"/>
      <c r="AA5" s="942"/>
      <c r="AB5" s="152"/>
      <c r="AC5" s="153"/>
    </row>
    <row r="6" spans="1:29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56"/>
      <c r="N6" s="660" t="s">
        <v>39</v>
      </c>
      <c r="O6" s="660" t="s">
        <v>40</v>
      </c>
      <c r="P6" s="660" t="s">
        <v>41</v>
      </c>
      <c r="Q6" s="660" t="s">
        <v>42</v>
      </c>
      <c r="R6" s="961"/>
      <c r="S6" s="937"/>
      <c r="T6" s="149" t="s">
        <v>39</v>
      </c>
      <c r="U6" s="149" t="s">
        <v>40</v>
      </c>
      <c r="V6" s="149" t="s">
        <v>41</v>
      </c>
      <c r="W6" s="149" t="s">
        <v>42</v>
      </c>
      <c r="X6" s="932"/>
      <c r="Y6" s="941"/>
      <c r="Z6" s="936"/>
      <c r="AA6" s="942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45" t="s">
        <v>23</v>
      </c>
      <c r="B20" s="94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0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8" t="s">
        <v>36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9"/>
      <c r="AB1" s="9"/>
    </row>
    <row r="2" spans="1:28" s="5" customFormat="1" ht="22.5" customHeight="1">
      <c r="A2" s="982" t="s">
        <v>50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10"/>
      <c r="AB2" s="10"/>
    </row>
    <row r="3" spans="1:28" s="5" customFormat="1" ht="22.5" customHeight="1">
      <c r="A3" s="889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10"/>
      <c r="AB3" s="10"/>
    </row>
    <row r="4" spans="1:27" s="3" customFormat="1" ht="46.5" customHeight="1">
      <c r="A4" s="983" t="s">
        <v>0</v>
      </c>
      <c r="B4" s="970" t="s">
        <v>1</v>
      </c>
      <c r="C4" s="887" t="s">
        <v>25</v>
      </c>
      <c r="D4" s="887"/>
      <c r="E4" s="887"/>
      <c r="F4" s="887"/>
      <c r="G4" s="967" t="s">
        <v>26</v>
      </c>
      <c r="H4" s="968"/>
      <c r="I4" s="968"/>
      <c r="J4" s="968"/>
      <c r="K4" s="968"/>
      <c r="L4" s="969"/>
      <c r="M4" s="967" t="s">
        <v>44</v>
      </c>
      <c r="N4" s="968"/>
      <c r="O4" s="968"/>
      <c r="P4" s="968"/>
      <c r="Q4" s="968"/>
      <c r="R4" s="969"/>
      <c r="S4" s="979" t="s">
        <v>45</v>
      </c>
      <c r="T4" s="980"/>
      <c r="U4" s="980"/>
      <c r="V4" s="980"/>
      <c r="W4" s="980"/>
      <c r="X4" s="981"/>
      <c r="Y4" s="984" t="s">
        <v>43</v>
      </c>
      <c r="Z4" s="983" t="s">
        <v>14</v>
      </c>
      <c r="AA4" s="7"/>
    </row>
    <row r="5" spans="1:28" s="3" customFormat="1" ht="14.25" customHeight="1">
      <c r="A5" s="983"/>
      <c r="B5" s="970"/>
      <c r="C5" s="887" t="s">
        <v>20</v>
      </c>
      <c r="D5" s="881" t="s">
        <v>21</v>
      </c>
      <c r="E5" s="881"/>
      <c r="F5" s="881"/>
      <c r="G5" s="970" t="s">
        <v>38</v>
      </c>
      <c r="H5" s="976" t="s">
        <v>21</v>
      </c>
      <c r="I5" s="976"/>
      <c r="J5" s="976"/>
      <c r="K5" s="976"/>
      <c r="L5" s="977" t="s">
        <v>202</v>
      </c>
      <c r="M5" s="970" t="s">
        <v>38</v>
      </c>
      <c r="N5" s="971" t="s">
        <v>21</v>
      </c>
      <c r="O5" s="972"/>
      <c r="P5" s="972"/>
      <c r="Q5" s="973"/>
      <c r="R5" s="977" t="s">
        <v>37</v>
      </c>
      <c r="S5" s="970" t="s">
        <v>38</v>
      </c>
      <c r="T5" s="971" t="s">
        <v>21</v>
      </c>
      <c r="U5" s="972"/>
      <c r="V5" s="972"/>
      <c r="W5" s="973"/>
      <c r="X5" s="977" t="s">
        <v>37</v>
      </c>
      <c r="Y5" s="984"/>
      <c r="Z5" s="983"/>
      <c r="AA5" s="6"/>
      <c r="AB5" s="4"/>
    </row>
    <row r="6" spans="1:28" s="3" customFormat="1" ht="73.5" customHeight="1">
      <c r="A6" s="983"/>
      <c r="B6" s="970"/>
      <c r="C6" s="887"/>
      <c r="D6" s="8" t="s">
        <v>17</v>
      </c>
      <c r="E6" s="8" t="s">
        <v>18</v>
      </c>
      <c r="F6" s="8" t="s">
        <v>19</v>
      </c>
      <c r="G6" s="970"/>
      <c r="H6" s="39" t="s">
        <v>39</v>
      </c>
      <c r="I6" s="39" t="s">
        <v>40</v>
      </c>
      <c r="J6" s="39" t="s">
        <v>41</v>
      </c>
      <c r="K6" s="39" t="s">
        <v>42</v>
      </c>
      <c r="L6" s="978"/>
      <c r="M6" s="970"/>
      <c r="N6" s="39" t="s">
        <v>39</v>
      </c>
      <c r="O6" s="39" t="s">
        <v>40</v>
      </c>
      <c r="P6" s="39" t="s">
        <v>41</v>
      </c>
      <c r="Q6" s="39" t="s">
        <v>42</v>
      </c>
      <c r="R6" s="978"/>
      <c r="S6" s="970"/>
      <c r="T6" s="39" t="s">
        <v>39</v>
      </c>
      <c r="U6" s="39" t="s">
        <v>40</v>
      </c>
      <c r="V6" s="39" t="s">
        <v>41</v>
      </c>
      <c r="W6" s="39" t="s">
        <v>42</v>
      </c>
      <c r="X6" s="978"/>
      <c r="Y6" s="984"/>
      <c r="Z6" s="983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974" t="s">
        <v>23</v>
      </c>
      <c r="B20" s="975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965" t="s">
        <v>48</v>
      </c>
      <c r="C21" s="966"/>
      <c r="D21" s="966"/>
      <c r="E21" s="966"/>
      <c r="F21" s="966"/>
      <c r="G21" s="966"/>
      <c r="H21" s="966"/>
      <c r="I21" s="966"/>
      <c r="J21" s="966"/>
      <c r="K21" s="966"/>
      <c r="L21" s="966"/>
      <c r="M21" s="966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  <mergeCell ref="A3:Z3"/>
    <mergeCell ref="A20:B20"/>
    <mergeCell ref="H5:K5"/>
    <mergeCell ref="L5:L6"/>
    <mergeCell ref="S4:X4"/>
    <mergeCell ref="X5:X6"/>
    <mergeCell ref="B21:Z21"/>
    <mergeCell ref="G4:L4"/>
    <mergeCell ref="M5:M6"/>
    <mergeCell ref="N5:Q5"/>
    <mergeCell ref="S5:S6"/>
    <mergeCell ref="T5:W5"/>
    <mergeCell ref="D5:F5"/>
    <mergeCell ref="G5:G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8" t="s">
        <v>36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9"/>
      <c r="AB1" s="9"/>
    </row>
    <row r="2" spans="1:28" s="5" customFormat="1" ht="22.5" customHeight="1">
      <c r="A2" s="982"/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10"/>
      <c r="AB2" s="10"/>
    </row>
    <row r="3" spans="1:28" s="5" customFormat="1" ht="22.5" customHeight="1">
      <c r="A3" s="889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10"/>
      <c r="AB3" s="10"/>
    </row>
    <row r="4" spans="1:27" s="3" customFormat="1" ht="46.5" customHeight="1">
      <c r="A4" s="983" t="s">
        <v>0</v>
      </c>
      <c r="B4" s="970" t="s">
        <v>1</v>
      </c>
      <c r="C4" s="887" t="s">
        <v>25</v>
      </c>
      <c r="D4" s="887"/>
      <c r="E4" s="887"/>
      <c r="F4" s="887"/>
      <c r="G4" s="967" t="s">
        <v>26</v>
      </c>
      <c r="H4" s="968"/>
      <c r="I4" s="968"/>
      <c r="J4" s="968"/>
      <c r="K4" s="968"/>
      <c r="L4" s="969"/>
      <c r="M4" s="967" t="s">
        <v>44</v>
      </c>
      <c r="N4" s="968"/>
      <c r="O4" s="968"/>
      <c r="P4" s="968"/>
      <c r="Q4" s="968"/>
      <c r="R4" s="969"/>
      <c r="S4" s="979" t="s">
        <v>45</v>
      </c>
      <c r="T4" s="980"/>
      <c r="U4" s="980"/>
      <c r="V4" s="980"/>
      <c r="W4" s="980"/>
      <c r="X4" s="981"/>
      <c r="Y4" s="987" t="s">
        <v>43</v>
      </c>
      <c r="Z4" s="983" t="s">
        <v>14</v>
      </c>
      <c r="AA4" s="7"/>
    </row>
    <row r="5" spans="1:28" s="3" customFormat="1" ht="14.25" customHeight="1">
      <c r="A5" s="983"/>
      <c r="B5" s="970"/>
      <c r="C5" s="887" t="s">
        <v>20</v>
      </c>
      <c r="D5" s="881" t="s">
        <v>21</v>
      </c>
      <c r="E5" s="881"/>
      <c r="F5" s="881"/>
      <c r="G5" s="970" t="s">
        <v>38</v>
      </c>
      <c r="H5" s="976" t="s">
        <v>21</v>
      </c>
      <c r="I5" s="976"/>
      <c r="J5" s="976"/>
      <c r="K5" s="976"/>
      <c r="L5" s="977" t="s">
        <v>202</v>
      </c>
      <c r="M5" s="970" t="s">
        <v>38</v>
      </c>
      <c r="N5" s="971" t="s">
        <v>21</v>
      </c>
      <c r="O5" s="972"/>
      <c r="P5" s="972"/>
      <c r="Q5" s="973"/>
      <c r="R5" s="977" t="s">
        <v>37</v>
      </c>
      <c r="S5" s="970" t="s">
        <v>38</v>
      </c>
      <c r="T5" s="971" t="s">
        <v>21</v>
      </c>
      <c r="U5" s="972"/>
      <c r="V5" s="972"/>
      <c r="W5" s="973"/>
      <c r="X5" s="977" t="s">
        <v>37</v>
      </c>
      <c r="Y5" s="987"/>
      <c r="Z5" s="983"/>
      <c r="AA5" s="6"/>
      <c r="AB5" s="4"/>
    </row>
    <row r="6" spans="1:28" s="3" customFormat="1" ht="73.5" customHeight="1">
      <c r="A6" s="983"/>
      <c r="B6" s="970"/>
      <c r="C6" s="887"/>
      <c r="D6" s="8" t="s">
        <v>17</v>
      </c>
      <c r="E6" s="8" t="s">
        <v>18</v>
      </c>
      <c r="F6" s="8" t="s">
        <v>19</v>
      </c>
      <c r="G6" s="970"/>
      <c r="H6" s="39" t="s">
        <v>39</v>
      </c>
      <c r="I6" s="39" t="s">
        <v>40</v>
      </c>
      <c r="J6" s="39" t="s">
        <v>41</v>
      </c>
      <c r="K6" s="39" t="s">
        <v>42</v>
      </c>
      <c r="L6" s="978"/>
      <c r="M6" s="970"/>
      <c r="N6" s="39" t="s">
        <v>39</v>
      </c>
      <c r="O6" s="39" t="s">
        <v>40</v>
      </c>
      <c r="P6" s="39" t="s">
        <v>41</v>
      </c>
      <c r="Q6" s="39" t="s">
        <v>42</v>
      </c>
      <c r="R6" s="978"/>
      <c r="S6" s="970"/>
      <c r="T6" s="39" t="s">
        <v>39</v>
      </c>
      <c r="U6" s="39" t="s">
        <v>40</v>
      </c>
      <c r="V6" s="39" t="s">
        <v>41</v>
      </c>
      <c r="W6" s="39" t="s">
        <v>42</v>
      </c>
      <c r="X6" s="978"/>
      <c r="Y6" s="987"/>
      <c r="Z6" s="983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85" t="s">
        <v>23</v>
      </c>
      <c r="B20" s="986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965" t="s">
        <v>48</v>
      </c>
      <c r="C21" s="966"/>
      <c r="D21" s="966"/>
      <c r="E21" s="966"/>
      <c r="F21" s="966"/>
      <c r="G21" s="966"/>
      <c r="H21" s="966"/>
      <c r="I21" s="966"/>
      <c r="J21" s="966"/>
      <c r="K21" s="966"/>
      <c r="L21" s="966"/>
      <c r="M21" s="966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88" t="s">
        <v>36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9"/>
      <c r="AB1" s="9"/>
    </row>
    <row r="2" spans="1:28" s="5" customFormat="1" ht="22.5" customHeight="1">
      <c r="A2" s="982" t="s">
        <v>305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10"/>
      <c r="AB2" s="10"/>
    </row>
    <row r="3" spans="1:28" s="5" customFormat="1" ht="22.5" customHeight="1">
      <c r="A3" s="889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10"/>
      <c r="AB3" s="10"/>
    </row>
    <row r="4" spans="1:27" s="3" customFormat="1" ht="46.5" customHeight="1">
      <c r="A4" s="983" t="s">
        <v>0</v>
      </c>
      <c r="B4" s="970" t="s">
        <v>1</v>
      </c>
      <c r="C4" s="887" t="s">
        <v>25</v>
      </c>
      <c r="D4" s="887"/>
      <c r="E4" s="887"/>
      <c r="F4" s="887"/>
      <c r="G4" s="967" t="s">
        <v>26</v>
      </c>
      <c r="H4" s="968"/>
      <c r="I4" s="968"/>
      <c r="J4" s="968"/>
      <c r="K4" s="968"/>
      <c r="L4" s="969"/>
      <c r="M4" s="967" t="s">
        <v>44</v>
      </c>
      <c r="N4" s="968"/>
      <c r="O4" s="968"/>
      <c r="P4" s="968"/>
      <c r="Q4" s="968"/>
      <c r="R4" s="969"/>
      <c r="S4" s="979" t="s">
        <v>45</v>
      </c>
      <c r="T4" s="980"/>
      <c r="U4" s="980"/>
      <c r="V4" s="980"/>
      <c r="W4" s="980"/>
      <c r="X4" s="981"/>
      <c r="Y4" s="987" t="s">
        <v>43</v>
      </c>
      <c r="Z4" s="983" t="s">
        <v>14</v>
      </c>
      <c r="AA4" s="7"/>
    </row>
    <row r="5" spans="1:28" s="3" customFormat="1" ht="14.25" customHeight="1">
      <c r="A5" s="983"/>
      <c r="B5" s="970"/>
      <c r="C5" s="887" t="s">
        <v>20</v>
      </c>
      <c r="D5" s="881" t="s">
        <v>21</v>
      </c>
      <c r="E5" s="881"/>
      <c r="F5" s="881"/>
      <c r="G5" s="970" t="s">
        <v>38</v>
      </c>
      <c r="H5" s="976" t="s">
        <v>21</v>
      </c>
      <c r="I5" s="976"/>
      <c r="J5" s="976"/>
      <c r="K5" s="976"/>
      <c r="L5" s="977" t="s">
        <v>202</v>
      </c>
      <c r="M5" s="970" t="s">
        <v>38</v>
      </c>
      <c r="N5" s="971" t="s">
        <v>21</v>
      </c>
      <c r="O5" s="972"/>
      <c r="P5" s="972"/>
      <c r="Q5" s="973"/>
      <c r="R5" s="977" t="s">
        <v>37</v>
      </c>
      <c r="S5" s="970" t="s">
        <v>38</v>
      </c>
      <c r="T5" s="971" t="s">
        <v>21</v>
      </c>
      <c r="U5" s="972"/>
      <c r="V5" s="972"/>
      <c r="W5" s="973"/>
      <c r="X5" s="977" t="s">
        <v>37</v>
      </c>
      <c r="Y5" s="987"/>
      <c r="Z5" s="983"/>
      <c r="AA5" s="6"/>
      <c r="AB5" s="4"/>
    </row>
    <row r="6" spans="1:28" s="3" customFormat="1" ht="76.5">
      <c r="A6" s="983"/>
      <c r="B6" s="970"/>
      <c r="C6" s="887"/>
      <c r="D6" s="8" t="s">
        <v>17</v>
      </c>
      <c r="E6" s="8" t="s">
        <v>18</v>
      </c>
      <c r="F6" s="8" t="s">
        <v>19</v>
      </c>
      <c r="G6" s="970"/>
      <c r="H6" s="39" t="s">
        <v>39</v>
      </c>
      <c r="I6" s="39" t="s">
        <v>40</v>
      </c>
      <c r="J6" s="39" t="s">
        <v>41</v>
      </c>
      <c r="K6" s="39" t="s">
        <v>42</v>
      </c>
      <c r="L6" s="978"/>
      <c r="M6" s="970"/>
      <c r="N6" s="39" t="s">
        <v>39</v>
      </c>
      <c r="O6" s="39" t="s">
        <v>40</v>
      </c>
      <c r="P6" s="39" t="s">
        <v>41</v>
      </c>
      <c r="Q6" s="39" t="s">
        <v>42</v>
      </c>
      <c r="R6" s="978"/>
      <c r="S6" s="970"/>
      <c r="T6" s="39" t="s">
        <v>39</v>
      </c>
      <c r="U6" s="39" t="s">
        <v>40</v>
      </c>
      <c r="V6" s="39" t="s">
        <v>41</v>
      </c>
      <c r="W6" s="39" t="s">
        <v>42</v>
      </c>
      <c r="X6" s="978"/>
      <c r="Y6" s="987"/>
      <c r="Z6" s="983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85" t="s">
        <v>23</v>
      </c>
      <c r="B20" s="986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965" t="s">
        <v>48</v>
      </c>
      <c r="C21" s="966"/>
      <c r="D21" s="966"/>
      <c r="E21" s="966"/>
      <c r="F21" s="966"/>
      <c r="G21" s="966"/>
      <c r="H21" s="966"/>
      <c r="I21" s="966"/>
      <c r="J21" s="966"/>
      <c r="K21" s="966"/>
      <c r="L21" s="966"/>
      <c r="M21" s="966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33" t="s">
        <v>298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</row>
    <row r="2" spans="1:26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</row>
    <row r="3" spans="1:26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</row>
    <row r="4" spans="1:26" s="151" customFormat="1" ht="33" customHeight="1">
      <c r="A4" s="936" t="s">
        <v>0</v>
      </c>
      <c r="B4" s="937" t="s">
        <v>160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2" t="s">
        <v>44</v>
      </c>
      <c r="N4" s="923"/>
      <c r="O4" s="923"/>
      <c r="P4" s="923"/>
      <c r="Q4" s="923"/>
      <c r="R4" s="924"/>
      <c r="S4" s="925" t="s">
        <v>45</v>
      </c>
      <c r="T4" s="926"/>
      <c r="U4" s="926"/>
      <c r="V4" s="926"/>
      <c r="W4" s="926"/>
      <c r="X4" s="927"/>
      <c r="Y4" s="941" t="s">
        <v>43</v>
      </c>
      <c r="Z4" s="941" t="s">
        <v>14</v>
      </c>
    </row>
    <row r="5" spans="1:26" s="151" customFormat="1" ht="15.7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37" t="s">
        <v>38</v>
      </c>
      <c r="T5" s="928" t="s">
        <v>21</v>
      </c>
      <c r="U5" s="929"/>
      <c r="V5" s="929"/>
      <c r="W5" s="930"/>
      <c r="X5" s="931" t="s">
        <v>37</v>
      </c>
      <c r="Y5" s="941"/>
      <c r="Z5" s="941"/>
    </row>
    <row r="6" spans="1:26" s="151" customFormat="1" ht="95.25" customHeight="1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37"/>
      <c r="T6" s="149" t="s">
        <v>39</v>
      </c>
      <c r="U6" s="149" t="s">
        <v>40</v>
      </c>
      <c r="V6" s="149" t="s">
        <v>41</v>
      </c>
      <c r="W6" s="149" t="s">
        <v>42</v>
      </c>
      <c r="X6" s="932"/>
      <c r="Y6" s="941"/>
      <c r="Z6" s="941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88" t="s">
        <v>23</v>
      </c>
      <c r="B20" s="988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0:B2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Z26" sqref="Z26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7.875" style="68" bestFit="1" customWidth="1"/>
    <col min="30" max="30" width="8.125" style="68" customWidth="1"/>
    <col min="31" max="33" width="9.00390625" style="68" customWidth="1"/>
    <col min="34" max="16384" width="9.00390625" style="68" customWidth="1"/>
  </cols>
  <sheetData>
    <row r="1" spans="1:30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32"/>
      <c r="AB1" s="832"/>
      <c r="AC1" s="833"/>
      <c r="AD1" s="833"/>
    </row>
    <row r="2" spans="1:30" s="569" customFormat="1" ht="22.5" customHeight="1">
      <c r="A2" s="895" t="s">
        <v>403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34"/>
      <c r="AB2" s="834"/>
      <c r="AC2" s="835"/>
      <c r="AD2" s="835"/>
    </row>
    <row r="3" spans="1:30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36"/>
      <c r="AB3" s="836"/>
      <c r="AC3" s="835"/>
      <c r="AD3" s="835"/>
    </row>
    <row r="4" spans="1:29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0" t="s">
        <v>399</v>
      </c>
      <c r="N4" s="901"/>
      <c r="O4" s="901"/>
      <c r="P4" s="901"/>
      <c r="Q4" s="901"/>
      <c r="R4" s="902"/>
      <c r="S4" s="903" t="s">
        <v>307</v>
      </c>
      <c r="T4" s="904"/>
      <c r="U4" s="904"/>
      <c r="V4" s="904"/>
      <c r="W4" s="904"/>
      <c r="X4" s="905"/>
      <c r="Y4" s="898" t="s">
        <v>43</v>
      </c>
      <c r="Z4" s="897" t="s">
        <v>14</v>
      </c>
      <c r="AA4" s="898" t="s">
        <v>329</v>
      </c>
      <c r="AB4" s="906" t="s">
        <v>313</v>
      </c>
      <c r="AC4" s="837"/>
    </row>
    <row r="5" spans="1:30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08" t="s">
        <v>21</v>
      </c>
      <c r="O5" s="908"/>
      <c r="P5" s="908"/>
      <c r="Q5" s="908"/>
      <c r="R5" s="909" t="s">
        <v>202</v>
      </c>
      <c r="S5" s="898" t="s">
        <v>38</v>
      </c>
      <c r="T5" s="911" t="s">
        <v>21</v>
      </c>
      <c r="U5" s="912"/>
      <c r="V5" s="912"/>
      <c r="W5" s="913"/>
      <c r="X5" s="909" t="s">
        <v>37</v>
      </c>
      <c r="Y5" s="898"/>
      <c r="Z5" s="897"/>
      <c r="AA5" s="898"/>
      <c r="AB5" s="906"/>
      <c r="AC5" s="839"/>
      <c r="AD5" s="840"/>
    </row>
    <row r="6" spans="1:31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42" t="s">
        <v>39</v>
      </c>
      <c r="U6" s="842" t="s">
        <v>40</v>
      </c>
      <c r="V6" s="842" t="s">
        <v>41</v>
      </c>
      <c r="W6" s="842" t="s">
        <v>42</v>
      </c>
      <c r="X6" s="910"/>
      <c r="Y6" s="898"/>
      <c r="Z6" s="897"/>
      <c r="AA6" s="898"/>
      <c r="AB6" s="906"/>
      <c r="AC6" s="843" t="s">
        <v>404</v>
      </c>
      <c r="AD6" s="840" t="s">
        <v>354</v>
      </c>
      <c r="AE6" s="838" t="s">
        <v>405</v>
      </c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30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>
        <v>4.15</v>
      </c>
      <c r="AD8" s="68">
        <v>4.15</v>
      </c>
    </row>
    <row r="9" spans="1:30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  <c r="AC9" s="68">
        <v>2.44</v>
      </c>
      <c r="AD9" s="68">
        <v>2.44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C10" s="68">
        <v>0.8</v>
      </c>
      <c r="AE10" s="77">
        <v>0.8</v>
      </c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23.560000000000002</v>
      </c>
      <c r="T11" s="471">
        <f>0.3+3.13</f>
        <v>3.4299999999999997</v>
      </c>
      <c r="U11" s="471">
        <f>6.4+2.44+0.5</f>
        <v>9.34</v>
      </c>
      <c r="V11" s="471">
        <f>0.49+10.3</f>
        <v>10.790000000000001</v>
      </c>
      <c r="W11" s="471"/>
      <c r="X11" s="618">
        <v>1915</v>
      </c>
      <c r="Y11" s="604">
        <f t="shared" si="3"/>
        <v>0.7669270833333334</v>
      </c>
      <c r="Z11" s="828" t="s">
        <v>391</v>
      </c>
      <c r="AA11" s="756">
        <f>14.1+7.32</f>
        <v>21.42</v>
      </c>
      <c r="AB11" s="646">
        <f t="shared" si="4"/>
        <v>44.980000000000004</v>
      </c>
      <c r="AC11" s="68">
        <v>7.32</v>
      </c>
      <c r="AD11" s="77">
        <v>7.32</v>
      </c>
    </row>
    <row r="12" spans="1:31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  <c r="AC12" s="68">
        <f>4.31+1.73</f>
        <v>6.039999999999999</v>
      </c>
      <c r="AD12" s="68">
        <v>4.31</v>
      </c>
      <c r="AE12" s="68">
        <v>1.73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</row>
    <row r="14" spans="1:3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11614.2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14.46+4</f>
        <v>18.46</v>
      </c>
      <c r="AD14" s="68">
        <v>14.46</v>
      </c>
      <c r="AE14" s="68">
        <v>4</v>
      </c>
    </row>
    <row r="15" spans="1:31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99.03999999999999</v>
      </c>
      <c r="T15" s="471">
        <v>19.86</v>
      </c>
      <c r="U15" s="471">
        <v>68.36</v>
      </c>
      <c r="V15" s="471">
        <v>10.82</v>
      </c>
      <c r="W15" s="471"/>
      <c r="X15" s="618">
        <v>12293.1</v>
      </c>
      <c r="Y15" s="604">
        <f t="shared" si="3"/>
        <v>0.8913689136891368</v>
      </c>
      <c r="Z15" s="473" t="s">
        <v>390</v>
      </c>
      <c r="AA15" s="756">
        <f>39.7+11.55</f>
        <v>51.25</v>
      </c>
      <c r="AB15" s="646">
        <f>+S15+AA15</f>
        <v>150.29</v>
      </c>
      <c r="AC15" s="68">
        <v>11.55</v>
      </c>
      <c r="AE15" s="68">
        <v>11.55</v>
      </c>
    </row>
    <row r="16" spans="1:30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>
        <v>1</v>
      </c>
      <c r="AD16" s="68">
        <v>1</v>
      </c>
    </row>
    <row r="17" spans="1:30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91.01</v>
      </c>
      <c r="T17" s="471">
        <v>37.78</v>
      </c>
      <c r="U17" s="471">
        <v>51.5</v>
      </c>
      <c r="V17" s="471">
        <v>1.73</v>
      </c>
      <c r="W17" s="471"/>
      <c r="X17" s="618">
        <v>11542.5</v>
      </c>
      <c r="Y17" s="604">
        <f t="shared" si="3"/>
        <v>0.897534516765286</v>
      </c>
      <c r="Z17" s="828" t="s">
        <v>387</v>
      </c>
      <c r="AA17" s="756">
        <f>13.49+6.95</f>
        <v>20.44</v>
      </c>
      <c r="AB17" s="646">
        <f t="shared" si="4"/>
        <v>111.45</v>
      </c>
      <c r="AC17" s="77">
        <v>6.95</v>
      </c>
      <c r="AD17" s="68">
        <v>6.95</v>
      </c>
    </row>
    <row r="18" spans="1:3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  <c r="AC18" s="68">
        <v>5.78</v>
      </c>
      <c r="AE18" s="68">
        <v>5.78</v>
      </c>
    </row>
    <row r="19" spans="1:3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16.33</v>
      </c>
      <c r="T19" s="650">
        <v>3.7</v>
      </c>
      <c r="U19" s="650">
        <v>3.63</v>
      </c>
      <c r="V19" s="650">
        <v>9</v>
      </c>
      <c r="W19" s="651"/>
      <c r="X19" s="630">
        <v>1411</v>
      </c>
      <c r="Y19" s="610">
        <f t="shared" si="3"/>
        <v>0.9278409090909089</v>
      </c>
      <c r="Z19" s="587" t="s">
        <v>395</v>
      </c>
      <c r="AA19" s="758">
        <v>6.06</v>
      </c>
      <c r="AB19" s="646">
        <f t="shared" si="4"/>
        <v>22.389999999999997</v>
      </c>
      <c r="AC19" s="68">
        <v>6.06</v>
      </c>
      <c r="AE19" s="68">
        <v>6.06</v>
      </c>
    </row>
    <row r="20" spans="1:31" ht="21.75" customHeight="1">
      <c r="A20" s="914" t="s">
        <v>23</v>
      </c>
      <c r="B20" s="915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635.181</v>
      </c>
      <c r="T20" s="821">
        <f t="shared" si="6"/>
        <v>142.957</v>
      </c>
      <c r="U20" s="820">
        <f t="shared" si="6"/>
        <v>363.422</v>
      </c>
      <c r="V20" s="820">
        <f t="shared" si="6"/>
        <v>125.56200000000001</v>
      </c>
      <c r="W20" s="820">
        <f t="shared" si="6"/>
        <v>3.24</v>
      </c>
      <c r="X20" s="822">
        <f t="shared" si="6"/>
        <v>86581.8</v>
      </c>
      <c r="Y20" s="823">
        <f>+S20/G20</f>
        <v>0.8125366176895742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859.7610000000001</v>
      </c>
      <c r="AC20" s="850">
        <f>SUM(AC8:AC19)</f>
        <v>70.55000000000001</v>
      </c>
      <c r="AD20" s="850">
        <f>SUM(AD8:AD19)</f>
        <v>40.63</v>
      </c>
      <c r="AE20" s="850">
        <f>SUM(AE8:AE19)</f>
        <v>29.92</v>
      </c>
    </row>
    <row r="21" spans="2:30" ht="31.5" customHeight="1">
      <c r="B21" s="916" t="s">
        <v>402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851"/>
      <c r="AB21" s="852">
        <f>+AA20-AD20-AE20</f>
        <v>154.02999999999997</v>
      </c>
      <c r="AD21" s="77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635.181</v>
      </c>
      <c r="T24" s="854">
        <f t="shared" si="7"/>
        <v>142.957</v>
      </c>
      <c r="U24" s="854">
        <f t="shared" si="7"/>
        <v>363.422</v>
      </c>
      <c r="V24" s="854">
        <f t="shared" si="7"/>
        <v>125.56200000000001</v>
      </c>
      <c r="W24" s="854">
        <f t="shared" si="7"/>
        <v>3.24</v>
      </c>
      <c r="X24" s="854">
        <f t="shared" si="7"/>
        <v>86581.8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+'31.10.2013'!S20</f>
        <v>628.1190000000003</v>
      </c>
      <c r="T25" s="854">
        <f>+'31.10.2013'!T20</f>
        <v>142.516</v>
      </c>
      <c r="U25" s="854">
        <f>+'31.10.2013'!U20</f>
        <v>357.33099999999996</v>
      </c>
      <c r="V25" s="854">
        <f>+'31.10.2013'!V20</f>
        <v>125.07200000000003</v>
      </c>
      <c r="W25" s="854">
        <f>+'31.10.2013'!W20</f>
        <v>3.2</v>
      </c>
      <c r="X25" s="854">
        <f>+'31.10.2013'!X20</f>
        <v>84559.95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7.0619999999997844</v>
      </c>
      <c r="T26" s="854">
        <f t="shared" si="8"/>
        <v>0.4410000000000025</v>
      </c>
      <c r="U26" s="854">
        <f t="shared" si="8"/>
        <v>6.091000000000065</v>
      </c>
      <c r="V26" s="854">
        <f t="shared" si="8"/>
        <v>0.4899999999999807</v>
      </c>
      <c r="W26" s="854">
        <f t="shared" si="8"/>
        <v>0.040000000000000036</v>
      </c>
      <c r="X26" s="854">
        <f t="shared" si="8"/>
        <v>2021.8500000000058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33" t="s">
        <v>52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146"/>
      <c r="X1" s="146"/>
    </row>
    <row r="2" spans="1:24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147"/>
      <c r="X3" s="147"/>
    </row>
    <row r="4" spans="1:23" s="151" customFormat="1" ht="73.5" customHeight="1">
      <c r="A4" s="998" t="s">
        <v>0</v>
      </c>
      <c r="B4" s="938" t="s">
        <v>160</v>
      </c>
      <c r="C4" s="991" t="s">
        <v>26</v>
      </c>
      <c r="D4" s="992"/>
      <c r="E4" s="992"/>
      <c r="F4" s="992"/>
      <c r="G4" s="992"/>
      <c r="H4" s="993"/>
      <c r="I4" s="991" t="s">
        <v>44</v>
      </c>
      <c r="J4" s="992"/>
      <c r="K4" s="992"/>
      <c r="L4" s="992"/>
      <c r="M4" s="992"/>
      <c r="N4" s="993"/>
      <c r="O4" s="994" t="s">
        <v>45</v>
      </c>
      <c r="P4" s="995"/>
      <c r="Q4" s="995"/>
      <c r="R4" s="995"/>
      <c r="S4" s="995"/>
      <c r="T4" s="996"/>
      <c r="U4" s="997" t="s">
        <v>43</v>
      </c>
      <c r="V4" s="998" t="s">
        <v>14</v>
      </c>
      <c r="W4" s="150"/>
    </row>
    <row r="5" spans="1:24" s="151" customFormat="1" ht="39" customHeight="1">
      <c r="A5" s="998"/>
      <c r="B5" s="938"/>
      <c r="C5" s="937" t="s">
        <v>38</v>
      </c>
      <c r="D5" s="944" t="s">
        <v>21</v>
      </c>
      <c r="E5" s="944"/>
      <c r="F5" s="944"/>
      <c r="G5" s="944"/>
      <c r="H5" s="931" t="s">
        <v>202</v>
      </c>
      <c r="I5" s="937" t="s">
        <v>38</v>
      </c>
      <c r="J5" s="928" t="s">
        <v>21</v>
      </c>
      <c r="K5" s="929"/>
      <c r="L5" s="929"/>
      <c r="M5" s="930"/>
      <c r="N5" s="931" t="s">
        <v>37</v>
      </c>
      <c r="O5" s="937" t="s">
        <v>38</v>
      </c>
      <c r="P5" s="928" t="s">
        <v>21</v>
      </c>
      <c r="Q5" s="929"/>
      <c r="R5" s="929"/>
      <c r="S5" s="930"/>
      <c r="T5" s="931" t="s">
        <v>37</v>
      </c>
      <c r="U5" s="997"/>
      <c r="V5" s="998"/>
      <c r="W5" s="152"/>
      <c r="X5" s="153"/>
    </row>
    <row r="6" spans="1:24" s="151" customFormat="1" ht="73.5" customHeight="1">
      <c r="A6" s="998"/>
      <c r="B6" s="938"/>
      <c r="C6" s="937"/>
      <c r="D6" s="149" t="s">
        <v>39</v>
      </c>
      <c r="E6" s="149" t="s">
        <v>40</v>
      </c>
      <c r="F6" s="149" t="s">
        <v>41</v>
      </c>
      <c r="G6" s="149" t="s">
        <v>42</v>
      </c>
      <c r="H6" s="932"/>
      <c r="I6" s="937"/>
      <c r="J6" s="149" t="s">
        <v>39</v>
      </c>
      <c r="K6" s="149" t="s">
        <v>40</v>
      </c>
      <c r="L6" s="149" t="s">
        <v>41</v>
      </c>
      <c r="M6" s="149" t="s">
        <v>42</v>
      </c>
      <c r="N6" s="932"/>
      <c r="O6" s="937"/>
      <c r="P6" s="149" t="s">
        <v>39</v>
      </c>
      <c r="Q6" s="149" t="s">
        <v>40</v>
      </c>
      <c r="R6" s="149" t="s">
        <v>41</v>
      </c>
      <c r="S6" s="149" t="s">
        <v>42</v>
      </c>
      <c r="T6" s="932"/>
      <c r="U6" s="997"/>
      <c r="V6" s="998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89" t="s">
        <v>23</v>
      </c>
      <c r="B36" s="990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33" t="s">
        <v>87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</row>
    <row r="2" spans="1:26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</row>
    <row r="3" spans="1:26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</row>
    <row r="4" spans="1:26" s="151" customFormat="1" ht="33" customHeight="1">
      <c r="A4" s="936" t="s">
        <v>0</v>
      </c>
      <c r="B4" s="937" t="s">
        <v>160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2" t="s">
        <v>44</v>
      </c>
      <c r="N4" s="923"/>
      <c r="O4" s="923"/>
      <c r="P4" s="923"/>
      <c r="Q4" s="923"/>
      <c r="R4" s="924"/>
      <c r="S4" s="925" t="s">
        <v>45</v>
      </c>
      <c r="T4" s="926"/>
      <c r="U4" s="926"/>
      <c r="V4" s="926"/>
      <c r="W4" s="926"/>
      <c r="X4" s="927"/>
      <c r="Y4" s="941" t="s">
        <v>43</v>
      </c>
      <c r="Z4" s="941" t="s">
        <v>14</v>
      </c>
    </row>
    <row r="5" spans="1:26" s="151" customFormat="1" ht="15.7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37" t="s">
        <v>38</v>
      </c>
      <c r="T5" s="928" t="s">
        <v>21</v>
      </c>
      <c r="U5" s="929"/>
      <c r="V5" s="929"/>
      <c r="W5" s="930"/>
      <c r="X5" s="931" t="s">
        <v>37</v>
      </c>
      <c r="Y5" s="941"/>
      <c r="Z5" s="941"/>
    </row>
    <row r="6" spans="1:26" s="151" customFormat="1" ht="95.25" customHeight="1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37"/>
      <c r="T6" s="149" t="s">
        <v>39</v>
      </c>
      <c r="U6" s="149" t="s">
        <v>40</v>
      </c>
      <c r="V6" s="149" t="s">
        <v>41</v>
      </c>
      <c r="W6" s="149" t="s">
        <v>42</v>
      </c>
      <c r="X6" s="932"/>
      <c r="Y6" s="941"/>
      <c r="Z6" s="941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99" t="s">
        <v>23</v>
      </c>
      <c r="B17" s="1000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7:B17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33" t="s">
        <v>86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146"/>
      <c r="X1" s="146"/>
    </row>
    <row r="2" spans="1:24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147"/>
      <c r="X3" s="147"/>
    </row>
    <row r="4" spans="1:23" s="151" customFormat="1" ht="73.5" customHeight="1">
      <c r="A4" s="936" t="s">
        <v>0</v>
      </c>
      <c r="B4" s="937" t="s">
        <v>181</v>
      </c>
      <c r="C4" s="922" t="s">
        <v>26</v>
      </c>
      <c r="D4" s="923"/>
      <c r="E4" s="923"/>
      <c r="F4" s="923"/>
      <c r="G4" s="923"/>
      <c r="H4" s="924"/>
      <c r="I4" s="922" t="s">
        <v>44</v>
      </c>
      <c r="J4" s="923"/>
      <c r="K4" s="923"/>
      <c r="L4" s="923"/>
      <c r="M4" s="923"/>
      <c r="N4" s="924"/>
      <c r="O4" s="925" t="s">
        <v>45</v>
      </c>
      <c r="P4" s="926"/>
      <c r="Q4" s="926"/>
      <c r="R4" s="926"/>
      <c r="S4" s="926"/>
      <c r="T4" s="927"/>
      <c r="U4" s="941" t="s">
        <v>43</v>
      </c>
      <c r="V4" s="936" t="s">
        <v>14</v>
      </c>
      <c r="W4" s="150"/>
    </row>
    <row r="5" spans="1:24" s="151" customFormat="1" ht="39" customHeight="1">
      <c r="A5" s="936"/>
      <c r="B5" s="937"/>
      <c r="C5" s="937" t="s">
        <v>38</v>
      </c>
      <c r="D5" s="944" t="s">
        <v>21</v>
      </c>
      <c r="E5" s="944"/>
      <c r="F5" s="944"/>
      <c r="G5" s="944"/>
      <c r="H5" s="931" t="s">
        <v>202</v>
      </c>
      <c r="I5" s="937" t="s">
        <v>38</v>
      </c>
      <c r="J5" s="928" t="s">
        <v>21</v>
      </c>
      <c r="K5" s="929"/>
      <c r="L5" s="929"/>
      <c r="M5" s="930"/>
      <c r="N5" s="931" t="s">
        <v>37</v>
      </c>
      <c r="O5" s="937" t="s">
        <v>38</v>
      </c>
      <c r="P5" s="928" t="s">
        <v>21</v>
      </c>
      <c r="Q5" s="929"/>
      <c r="R5" s="929"/>
      <c r="S5" s="930"/>
      <c r="T5" s="931" t="s">
        <v>37</v>
      </c>
      <c r="U5" s="941"/>
      <c r="V5" s="936"/>
      <c r="W5" s="152"/>
      <c r="X5" s="153"/>
    </row>
    <row r="6" spans="1:24" s="151" customFormat="1" ht="73.5" customHeight="1">
      <c r="A6" s="936"/>
      <c r="B6" s="937"/>
      <c r="C6" s="937"/>
      <c r="D6" s="149" t="s">
        <v>39</v>
      </c>
      <c r="E6" s="149" t="s">
        <v>40</v>
      </c>
      <c r="F6" s="149" t="s">
        <v>41</v>
      </c>
      <c r="G6" s="149" t="s">
        <v>42</v>
      </c>
      <c r="H6" s="932"/>
      <c r="I6" s="937"/>
      <c r="J6" s="149" t="s">
        <v>39</v>
      </c>
      <c r="K6" s="149" t="s">
        <v>40</v>
      </c>
      <c r="L6" s="149" t="s">
        <v>41</v>
      </c>
      <c r="M6" s="149" t="s">
        <v>42</v>
      </c>
      <c r="N6" s="932"/>
      <c r="O6" s="937"/>
      <c r="P6" s="149" t="s">
        <v>39</v>
      </c>
      <c r="Q6" s="149" t="s">
        <v>40</v>
      </c>
      <c r="R6" s="149" t="s">
        <v>41</v>
      </c>
      <c r="S6" s="149" t="s">
        <v>42</v>
      </c>
      <c r="T6" s="932"/>
      <c r="U6" s="941"/>
      <c r="V6" s="936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88" t="s">
        <v>23</v>
      </c>
      <c r="B35" s="988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33" t="s">
        <v>89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146"/>
      <c r="X1" s="146"/>
    </row>
    <row r="2" spans="1:24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147"/>
      <c r="X3" s="147"/>
    </row>
    <row r="4" spans="1:23" s="151" customFormat="1" ht="99.75" customHeight="1">
      <c r="A4" s="998" t="s">
        <v>0</v>
      </c>
      <c r="B4" s="938" t="s">
        <v>160</v>
      </c>
      <c r="C4" s="991" t="s">
        <v>26</v>
      </c>
      <c r="D4" s="992"/>
      <c r="E4" s="992"/>
      <c r="F4" s="992"/>
      <c r="G4" s="992"/>
      <c r="H4" s="993"/>
      <c r="I4" s="991" t="s">
        <v>44</v>
      </c>
      <c r="J4" s="992"/>
      <c r="K4" s="992"/>
      <c r="L4" s="992"/>
      <c r="M4" s="992"/>
      <c r="N4" s="993"/>
      <c r="O4" s="994" t="s">
        <v>45</v>
      </c>
      <c r="P4" s="995"/>
      <c r="Q4" s="995"/>
      <c r="R4" s="995"/>
      <c r="S4" s="995"/>
      <c r="T4" s="996"/>
      <c r="U4" s="997" t="s">
        <v>43</v>
      </c>
      <c r="V4" s="998" t="s">
        <v>14</v>
      </c>
      <c r="W4" s="150"/>
    </row>
    <row r="5" spans="1:24" s="151" customFormat="1" ht="39" customHeight="1">
      <c r="A5" s="998"/>
      <c r="B5" s="938"/>
      <c r="C5" s="937" t="s">
        <v>38</v>
      </c>
      <c r="D5" s="944" t="s">
        <v>21</v>
      </c>
      <c r="E5" s="944"/>
      <c r="F5" s="944"/>
      <c r="G5" s="944"/>
      <c r="H5" s="931" t="s">
        <v>201</v>
      </c>
      <c r="I5" s="937" t="s">
        <v>38</v>
      </c>
      <c r="J5" s="928" t="s">
        <v>21</v>
      </c>
      <c r="K5" s="929"/>
      <c r="L5" s="929"/>
      <c r="M5" s="930"/>
      <c r="N5" s="931" t="s">
        <v>37</v>
      </c>
      <c r="O5" s="937" t="s">
        <v>38</v>
      </c>
      <c r="P5" s="928" t="s">
        <v>21</v>
      </c>
      <c r="Q5" s="929"/>
      <c r="R5" s="929"/>
      <c r="S5" s="930"/>
      <c r="T5" s="931" t="s">
        <v>37</v>
      </c>
      <c r="U5" s="997"/>
      <c r="V5" s="998"/>
      <c r="W5" s="152"/>
      <c r="X5" s="153"/>
    </row>
    <row r="6" spans="1:24" s="151" customFormat="1" ht="73.5" customHeight="1">
      <c r="A6" s="998"/>
      <c r="B6" s="938"/>
      <c r="C6" s="937"/>
      <c r="D6" s="149" t="s">
        <v>39</v>
      </c>
      <c r="E6" s="149" t="s">
        <v>40</v>
      </c>
      <c r="F6" s="149" t="s">
        <v>41</v>
      </c>
      <c r="G6" s="149" t="s">
        <v>42</v>
      </c>
      <c r="H6" s="932"/>
      <c r="I6" s="937"/>
      <c r="J6" s="149" t="s">
        <v>39</v>
      </c>
      <c r="K6" s="149" t="s">
        <v>40</v>
      </c>
      <c r="L6" s="149" t="s">
        <v>41</v>
      </c>
      <c r="M6" s="149" t="s">
        <v>42</v>
      </c>
      <c r="N6" s="932"/>
      <c r="O6" s="937"/>
      <c r="P6" s="149" t="s">
        <v>39</v>
      </c>
      <c r="Q6" s="149" t="s">
        <v>40</v>
      </c>
      <c r="R6" s="149" t="s">
        <v>41</v>
      </c>
      <c r="S6" s="149" t="s">
        <v>42</v>
      </c>
      <c r="T6" s="932"/>
      <c r="U6" s="997"/>
      <c r="V6" s="998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99" t="s">
        <v>23</v>
      </c>
      <c r="B29" s="1000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33" t="s">
        <v>299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</row>
    <row r="2" spans="1:26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</row>
    <row r="3" spans="1:26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</row>
    <row r="4" spans="1:26" s="151" customFormat="1" ht="33" customHeight="1">
      <c r="A4" s="1008" t="s">
        <v>0</v>
      </c>
      <c r="B4" s="941" t="s">
        <v>160</v>
      </c>
      <c r="C4" s="997" t="s">
        <v>25</v>
      </c>
      <c r="D4" s="997"/>
      <c r="E4" s="997"/>
      <c r="F4" s="997"/>
      <c r="G4" s="1009" t="s">
        <v>26</v>
      </c>
      <c r="H4" s="1010"/>
      <c r="I4" s="1010"/>
      <c r="J4" s="1010"/>
      <c r="K4" s="1010"/>
      <c r="L4" s="1011"/>
      <c r="M4" s="1009" t="s">
        <v>44</v>
      </c>
      <c r="N4" s="1010"/>
      <c r="O4" s="1010"/>
      <c r="P4" s="1010"/>
      <c r="Q4" s="1010"/>
      <c r="R4" s="1011"/>
      <c r="S4" s="1012" t="s">
        <v>45</v>
      </c>
      <c r="T4" s="1013"/>
      <c r="U4" s="1013"/>
      <c r="V4" s="1013"/>
      <c r="W4" s="1013"/>
      <c r="X4" s="1014"/>
      <c r="Y4" s="941" t="s">
        <v>43</v>
      </c>
      <c r="Z4" s="941" t="s">
        <v>14</v>
      </c>
    </row>
    <row r="5" spans="1:26" s="151" customFormat="1" ht="15.75" customHeight="1">
      <c r="A5" s="1008"/>
      <c r="B5" s="941"/>
      <c r="C5" s="997" t="s">
        <v>20</v>
      </c>
      <c r="D5" s="1007" t="s">
        <v>21</v>
      </c>
      <c r="E5" s="1007"/>
      <c r="F5" s="1007"/>
      <c r="G5" s="941" t="s">
        <v>38</v>
      </c>
      <c r="H5" s="1015" t="s">
        <v>21</v>
      </c>
      <c r="I5" s="1015"/>
      <c r="J5" s="1015"/>
      <c r="K5" s="1015"/>
      <c r="L5" s="1005" t="s">
        <v>202</v>
      </c>
      <c r="M5" s="941" t="s">
        <v>38</v>
      </c>
      <c r="N5" s="1002" t="s">
        <v>21</v>
      </c>
      <c r="O5" s="1003"/>
      <c r="P5" s="1003"/>
      <c r="Q5" s="1004"/>
      <c r="R5" s="1005" t="s">
        <v>37</v>
      </c>
      <c r="S5" s="941" t="s">
        <v>38</v>
      </c>
      <c r="T5" s="1002" t="s">
        <v>21</v>
      </c>
      <c r="U5" s="1003"/>
      <c r="V5" s="1003"/>
      <c r="W5" s="1004"/>
      <c r="X5" s="1005" t="s">
        <v>37</v>
      </c>
      <c r="Y5" s="941"/>
      <c r="Z5" s="941"/>
    </row>
    <row r="6" spans="1:26" s="151" customFormat="1" ht="95.25" customHeight="1">
      <c r="A6" s="1008"/>
      <c r="B6" s="941"/>
      <c r="C6" s="997"/>
      <c r="D6" s="371" t="s">
        <v>17</v>
      </c>
      <c r="E6" s="371" t="s">
        <v>18</v>
      </c>
      <c r="F6" s="371" t="s">
        <v>19</v>
      </c>
      <c r="G6" s="941"/>
      <c r="H6" s="370" t="s">
        <v>39</v>
      </c>
      <c r="I6" s="370" t="s">
        <v>40</v>
      </c>
      <c r="J6" s="370" t="s">
        <v>41</v>
      </c>
      <c r="K6" s="370" t="s">
        <v>42</v>
      </c>
      <c r="L6" s="1006"/>
      <c r="M6" s="941"/>
      <c r="N6" s="370" t="s">
        <v>39</v>
      </c>
      <c r="O6" s="370" t="s">
        <v>40</v>
      </c>
      <c r="P6" s="370" t="s">
        <v>41</v>
      </c>
      <c r="Q6" s="370" t="s">
        <v>42</v>
      </c>
      <c r="R6" s="1006"/>
      <c r="S6" s="941"/>
      <c r="T6" s="370" t="s">
        <v>39</v>
      </c>
      <c r="U6" s="370" t="s">
        <v>40</v>
      </c>
      <c r="V6" s="370" t="s">
        <v>41</v>
      </c>
      <c r="W6" s="370" t="s">
        <v>42</v>
      </c>
      <c r="X6" s="1006"/>
      <c r="Y6" s="941"/>
      <c r="Z6" s="941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1001" t="s">
        <v>23</v>
      </c>
      <c r="B30" s="1001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0:B3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33" t="s">
        <v>300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</row>
    <row r="2" spans="1:26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</row>
    <row r="3" spans="1:26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</row>
    <row r="4" spans="1:26" s="151" customFormat="1" ht="33" customHeight="1">
      <c r="A4" s="1008" t="s">
        <v>0</v>
      </c>
      <c r="B4" s="941" t="s">
        <v>160</v>
      </c>
      <c r="C4" s="997" t="s">
        <v>25</v>
      </c>
      <c r="D4" s="997"/>
      <c r="E4" s="997"/>
      <c r="F4" s="997"/>
      <c r="G4" s="1009" t="s">
        <v>26</v>
      </c>
      <c r="H4" s="1010"/>
      <c r="I4" s="1010"/>
      <c r="J4" s="1010"/>
      <c r="K4" s="1010"/>
      <c r="L4" s="1011"/>
      <c r="M4" s="1009" t="s">
        <v>44</v>
      </c>
      <c r="N4" s="1010"/>
      <c r="O4" s="1010"/>
      <c r="P4" s="1010"/>
      <c r="Q4" s="1010"/>
      <c r="R4" s="1011"/>
      <c r="S4" s="1012" t="s">
        <v>45</v>
      </c>
      <c r="T4" s="1013"/>
      <c r="U4" s="1013"/>
      <c r="V4" s="1013"/>
      <c r="W4" s="1013"/>
      <c r="X4" s="1014"/>
      <c r="Y4" s="941" t="s">
        <v>43</v>
      </c>
      <c r="Z4" s="941" t="s">
        <v>14</v>
      </c>
    </row>
    <row r="5" spans="1:26" s="151" customFormat="1" ht="15.75" customHeight="1">
      <c r="A5" s="1008"/>
      <c r="B5" s="941"/>
      <c r="C5" s="997" t="s">
        <v>20</v>
      </c>
      <c r="D5" s="1007" t="s">
        <v>21</v>
      </c>
      <c r="E5" s="1007"/>
      <c r="F5" s="1007"/>
      <c r="G5" s="941" t="s">
        <v>38</v>
      </c>
      <c r="H5" s="1015" t="s">
        <v>21</v>
      </c>
      <c r="I5" s="1015"/>
      <c r="J5" s="1015"/>
      <c r="K5" s="1015"/>
      <c r="L5" s="1005" t="s">
        <v>202</v>
      </c>
      <c r="M5" s="941" t="s">
        <v>38</v>
      </c>
      <c r="N5" s="1002" t="s">
        <v>21</v>
      </c>
      <c r="O5" s="1003"/>
      <c r="P5" s="1003"/>
      <c r="Q5" s="1004"/>
      <c r="R5" s="1005" t="s">
        <v>37</v>
      </c>
      <c r="S5" s="941" t="s">
        <v>38</v>
      </c>
      <c r="T5" s="1002" t="s">
        <v>21</v>
      </c>
      <c r="U5" s="1003"/>
      <c r="V5" s="1003"/>
      <c r="W5" s="1004"/>
      <c r="X5" s="1005" t="s">
        <v>37</v>
      </c>
      <c r="Y5" s="941"/>
      <c r="Z5" s="941"/>
    </row>
    <row r="6" spans="1:26" s="151" customFormat="1" ht="102">
      <c r="A6" s="1008"/>
      <c r="B6" s="941"/>
      <c r="C6" s="997"/>
      <c r="D6" s="371" t="s">
        <v>17</v>
      </c>
      <c r="E6" s="371" t="s">
        <v>18</v>
      </c>
      <c r="F6" s="371" t="s">
        <v>19</v>
      </c>
      <c r="G6" s="941"/>
      <c r="H6" s="370" t="s">
        <v>39</v>
      </c>
      <c r="I6" s="370" t="s">
        <v>40</v>
      </c>
      <c r="J6" s="370" t="s">
        <v>41</v>
      </c>
      <c r="K6" s="370" t="s">
        <v>42</v>
      </c>
      <c r="L6" s="1006"/>
      <c r="M6" s="941"/>
      <c r="N6" s="370" t="s">
        <v>39</v>
      </c>
      <c r="O6" s="370" t="s">
        <v>40</v>
      </c>
      <c r="P6" s="370" t="s">
        <v>41</v>
      </c>
      <c r="Q6" s="370" t="s">
        <v>42</v>
      </c>
      <c r="R6" s="1006"/>
      <c r="S6" s="941"/>
      <c r="T6" s="370" t="s">
        <v>39</v>
      </c>
      <c r="U6" s="370" t="s">
        <v>40</v>
      </c>
      <c r="V6" s="370" t="s">
        <v>41</v>
      </c>
      <c r="W6" s="370" t="s">
        <v>42</v>
      </c>
      <c r="X6" s="1006"/>
      <c r="Y6" s="941"/>
      <c r="Z6" s="941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1001" t="s">
        <v>23</v>
      </c>
      <c r="B32" s="1001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2:B32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33" t="s">
        <v>301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</row>
    <row r="2" spans="1:26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</row>
    <row r="3" spans="1:26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</row>
    <row r="4" spans="1:26" s="151" customFormat="1" ht="33" customHeight="1">
      <c r="A4" s="1008" t="s">
        <v>0</v>
      </c>
      <c r="B4" s="941" t="s">
        <v>160</v>
      </c>
      <c r="C4" s="997" t="s">
        <v>25</v>
      </c>
      <c r="D4" s="997"/>
      <c r="E4" s="997"/>
      <c r="F4" s="997"/>
      <c r="G4" s="1009" t="s">
        <v>26</v>
      </c>
      <c r="H4" s="1010"/>
      <c r="I4" s="1010"/>
      <c r="J4" s="1010"/>
      <c r="K4" s="1010"/>
      <c r="L4" s="1011"/>
      <c r="M4" s="1009" t="s">
        <v>44</v>
      </c>
      <c r="N4" s="1010"/>
      <c r="O4" s="1010"/>
      <c r="P4" s="1010"/>
      <c r="Q4" s="1010"/>
      <c r="R4" s="1011"/>
      <c r="S4" s="1012" t="s">
        <v>45</v>
      </c>
      <c r="T4" s="1013"/>
      <c r="U4" s="1013"/>
      <c r="V4" s="1013"/>
      <c r="W4" s="1013"/>
      <c r="X4" s="1014"/>
      <c r="Y4" s="941" t="s">
        <v>43</v>
      </c>
      <c r="Z4" s="941" t="s">
        <v>14</v>
      </c>
    </row>
    <row r="5" spans="1:26" s="151" customFormat="1" ht="15.75" customHeight="1">
      <c r="A5" s="1008"/>
      <c r="B5" s="941"/>
      <c r="C5" s="997" t="s">
        <v>20</v>
      </c>
      <c r="D5" s="1007" t="s">
        <v>21</v>
      </c>
      <c r="E5" s="1007"/>
      <c r="F5" s="1007"/>
      <c r="G5" s="941" t="s">
        <v>38</v>
      </c>
      <c r="H5" s="1015" t="s">
        <v>21</v>
      </c>
      <c r="I5" s="1015"/>
      <c r="J5" s="1015"/>
      <c r="K5" s="1015"/>
      <c r="L5" s="1005" t="s">
        <v>202</v>
      </c>
      <c r="M5" s="941" t="s">
        <v>38</v>
      </c>
      <c r="N5" s="1002" t="s">
        <v>21</v>
      </c>
      <c r="O5" s="1003"/>
      <c r="P5" s="1003"/>
      <c r="Q5" s="1004"/>
      <c r="R5" s="1005" t="s">
        <v>37</v>
      </c>
      <c r="S5" s="941" t="s">
        <v>38</v>
      </c>
      <c r="T5" s="1002" t="s">
        <v>21</v>
      </c>
      <c r="U5" s="1003"/>
      <c r="V5" s="1003"/>
      <c r="W5" s="1004"/>
      <c r="X5" s="1005" t="s">
        <v>37</v>
      </c>
      <c r="Y5" s="941"/>
      <c r="Z5" s="941"/>
    </row>
    <row r="6" spans="1:26" s="151" customFormat="1" ht="95.25" customHeight="1">
      <c r="A6" s="1008"/>
      <c r="B6" s="941"/>
      <c r="C6" s="997"/>
      <c r="D6" s="371" t="s">
        <v>17</v>
      </c>
      <c r="E6" s="371" t="s">
        <v>18</v>
      </c>
      <c r="F6" s="371" t="s">
        <v>19</v>
      </c>
      <c r="G6" s="941"/>
      <c r="H6" s="370" t="s">
        <v>39</v>
      </c>
      <c r="I6" s="370" t="s">
        <v>40</v>
      </c>
      <c r="J6" s="370" t="s">
        <v>41</v>
      </c>
      <c r="K6" s="370" t="s">
        <v>42</v>
      </c>
      <c r="L6" s="1006"/>
      <c r="M6" s="941"/>
      <c r="N6" s="370" t="s">
        <v>39</v>
      </c>
      <c r="O6" s="370" t="s">
        <v>40</v>
      </c>
      <c r="P6" s="370" t="s">
        <v>41</v>
      </c>
      <c r="Q6" s="370" t="s">
        <v>42</v>
      </c>
      <c r="R6" s="1006"/>
      <c r="S6" s="941"/>
      <c r="T6" s="370" t="s">
        <v>39</v>
      </c>
      <c r="U6" s="370" t="s">
        <v>40</v>
      </c>
      <c r="V6" s="370" t="s">
        <v>41</v>
      </c>
      <c r="W6" s="370" t="s">
        <v>42</v>
      </c>
      <c r="X6" s="1006"/>
      <c r="Y6" s="941"/>
      <c r="Z6" s="941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1001" t="s">
        <v>23</v>
      </c>
      <c r="B38" s="1001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A38:B3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33" t="s">
        <v>302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</row>
    <row r="2" spans="1:26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</row>
    <row r="3" spans="1:26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</row>
    <row r="4" spans="1:26" s="151" customFormat="1" ht="33" customHeight="1">
      <c r="A4" s="936" t="s">
        <v>0</v>
      </c>
      <c r="B4" s="937" t="s">
        <v>160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2" t="s">
        <v>44</v>
      </c>
      <c r="N4" s="923"/>
      <c r="O4" s="923"/>
      <c r="P4" s="923"/>
      <c r="Q4" s="923"/>
      <c r="R4" s="924"/>
      <c r="S4" s="925" t="s">
        <v>45</v>
      </c>
      <c r="T4" s="926"/>
      <c r="U4" s="926"/>
      <c r="V4" s="926"/>
      <c r="W4" s="926"/>
      <c r="X4" s="927"/>
      <c r="Y4" s="941" t="s">
        <v>43</v>
      </c>
      <c r="Z4" s="941" t="s">
        <v>14</v>
      </c>
    </row>
    <row r="5" spans="1:26" s="151" customFormat="1" ht="15.7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37" t="s">
        <v>38</v>
      </c>
      <c r="T5" s="928" t="s">
        <v>21</v>
      </c>
      <c r="U5" s="929"/>
      <c r="V5" s="929"/>
      <c r="W5" s="930"/>
      <c r="X5" s="931" t="s">
        <v>37</v>
      </c>
      <c r="Y5" s="941"/>
      <c r="Z5" s="941"/>
    </row>
    <row r="6" spans="1:26" s="151" customFormat="1" ht="102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37"/>
      <c r="T6" s="149" t="s">
        <v>39</v>
      </c>
      <c r="U6" s="149" t="s">
        <v>40</v>
      </c>
      <c r="V6" s="149" t="s">
        <v>41</v>
      </c>
      <c r="W6" s="149" t="s">
        <v>42</v>
      </c>
      <c r="X6" s="932"/>
      <c r="Y6" s="941"/>
      <c r="Z6" s="941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1016" t="s">
        <v>23</v>
      </c>
      <c r="B21" s="1016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A21:B21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33" t="s">
        <v>88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146"/>
      <c r="X1" s="146"/>
    </row>
    <row r="2" spans="1:24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147"/>
      <c r="X3" s="147"/>
    </row>
    <row r="4" spans="1:23" s="151" customFormat="1" ht="30" customHeight="1">
      <c r="A4" s="936" t="s">
        <v>0</v>
      </c>
      <c r="B4" s="937" t="s">
        <v>51</v>
      </c>
      <c r="C4" s="922" t="s">
        <v>26</v>
      </c>
      <c r="D4" s="923"/>
      <c r="E4" s="923"/>
      <c r="F4" s="923"/>
      <c r="G4" s="923"/>
      <c r="H4" s="924"/>
      <c r="I4" s="922" t="s">
        <v>44</v>
      </c>
      <c r="J4" s="923"/>
      <c r="K4" s="923"/>
      <c r="L4" s="923"/>
      <c r="M4" s="923"/>
      <c r="N4" s="924"/>
      <c r="O4" s="925" t="s">
        <v>45</v>
      </c>
      <c r="P4" s="926"/>
      <c r="Q4" s="926"/>
      <c r="R4" s="926"/>
      <c r="S4" s="926"/>
      <c r="T4" s="927"/>
      <c r="U4" s="941" t="s">
        <v>43</v>
      </c>
      <c r="V4" s="936" t="s">
        <v>14</v>
      </c>
      <c r="W4" s="150"/>
    </row>
    <row r="5" spans="1:24" s="151" customFormat="1" ht="18" customHeight="1">
      <c r="A5" s="936"/>
      <c r="B5" s="937"/>
      <c r="C5" s="937" t="s">
        <v>38</v>
      </c>
      <c r="D5" s="944" t="s">
        <v>21</v>
      </c>
      <c r="E5" s="944"/>
      <c r="F5" s="944"/>
      <c r="G5" s="944"/>
      <c r="H5" s="931" t="s">
        <v>201</v>
      </c>
      <c r="I5" s="937" t="s">
        <v>38</v>
      </c>
      <c r="J5" s="928" t="s">
        <v>21</v>
      </c>
      <c r="K5" s="929"/>
      <c r="L5" s="929"/>
      <c r="M5" s="930"/>
      <c r="N5" s="931" t="s">
        <v>37</v>
      </c>
      <c r="O5" s="937" t="s">
        <v>38</v>
      </c>
      <c r="P5" s="928" t="s">
        <v>21</v>
      </c>
      <c r="Q5" s="929"/>
      <c r="R5" s="929"/>
      <c r="S5" s="930"/>
      <c r="T5" s="931" t="s">
        <v>37</v>
      </c>
      <c r="U5" s="941"/>
      <c r="V5" s="936"/>
      <c r="W5" s="152"/>
      <c r="X5" s="153"/>
    </row>
    <row r="6" spans="1:24" s="151" customFormat="1" ht="102">
      <c r="A6" s="936"/>
      <c r="B6" s="937"/>
      <c r="C6" s="937"/>
      <c r="D6" s="149" t="s">
        <v>39</v>
      </c>
      <c r="E6" s="149" t="s">
        <v>40</v>
      </c>
      <c r="F6" s="149" t="s">
        <v>41</v>
      </c>
      <c r="G6" s="149" t="s">
        <v>42</v>
      </c>
      <c r="H6" s="932"/>
      <c r="I6" s="937"/>
      <c r="J6" s="149" t="s">
        <v>39</v>
      </c>
      <c r="K6" s="149" t="s">
        <v>40</v>
      </c>
      <c r="L6" s="149" t="s">
        <v>41</v>
      </c>
      <c r="M6" s="149" t="s">
        <v>42</v>
      </c>
      <c r="N6" s="932"/>
      <c r="O6" s="937"/>
      <c r="P6" s="149" t="s">
        <v>39</v>
      </c>
      <c r="Q6" s="149" t="s">
        <v>40</v>
      </c>
      <c r="R6" s="149" t="s">
        <v>41</v>
      </c>
      <c r="S6" s="149" t="s">
        <v>42</v>
      </c>
      <c r="T6" s="932"/>
      <c r="U6" s="941"/>
      <c r="V6" s="936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945" t="s">
        <v>23</v>
      </c>
      <c r="B40" s="946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33" t="s">
        <v>303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</row>
    <row r="2" spans="1:26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</row>
    <row r="3" spans="1:26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</row>
    <row r="4" spans="1:26" s="151" customFormat="1" ht="33" customHeight="1">
      <c r="A4" s="936" t="s">
        <v>0</v>
      </c>
      <c r="B4" s="937" t="s">
        <v>160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2" t="s">
        <v>44</v>
      </c>
      <c r="N4" s="923"/>
      <c r="O4" s="923"/>
      <c r="P4" s="923"/>
      <c r="Q4" s="923"/>
      <c r="R4" s="924"/>
      <c r="S4" s="925" t="s">
        <v>45</v>
      </c>
      <c r="T4" s="926"/>
      <c r="U4" s="926"/>
      <c r="V4" s="926"/>
      <c r="W4" s="926"/>
      <c r="X4" s="927"/>
      <c r="Y4" s="941" t="s">
        <v>43</v>
      </c>
      <c r="Z4" s="941" t="s">
        <v>14</v>
      </c>
    </row>
    <row r="5" spans="1:26" s="151" customFormat="1" ht="15.7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37" t="s">
        <v>38</v>
      </c>
      <c r="T5" s="928" t="s">
        <v>21</v>
      </c>
      <c r="U5" s="929"/>
      <c r="V5" s="929"/>
      <c r="W5" s="930"/>
      <c r="X5" s="931" t="s">
        <v>37</v>
      </c>
      <c r="Y5" s="941"/>
      <c r="Z5" s="941"/>
    </row>
    <row r="6" spans="1:26" s="151" customFormat="1" ht="102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37"/>
      <c r="T6" s="149" t="s">
        <v>39</v>
      </c>
      <c r="U6" s="149" t="s">
        <v>40</v>
      </c>
      <c r="V6" s="149" t="s">
        <v>41</v>
      </c>
      <c r="W6" s="149" t="s">
        <v>42</v>
      </c>
      <c r="X6" s="932"/>
      <c r="Y6" s="941"/>
      <c r="Z6" s="941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98" t="s">
        <v>23</v>
      </c>
      <c r="B8" s="998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8:B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32"/>
      <c r="AB1" s="832"/>
      <c r="AC1" s="833"/>
      <c r="AD1" s="833"/>
    </row>
    <row r="2" spans="1:30" s="569" customFormat="1" ht="22.5" customHeight="1">
      <c r="A2" s="895" t="s">
        <v>400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34"/>
      <c r="AB2" s="834"/>
      <c r="AC2" s="835"/>
      <c r="AD2" s="835"/>
    </row>
    <row r="3" spans="1:30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36"/>
      <c r="AB3" s="836"/>
      <c r="AC3" s="835"/>
      <c r="AD3" s="835"/>
    </row>
    <row r="4" spans="1:29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0" t="s">
        <v>399</v>
      </c>
      <c r="N4" s="901"/>
      <c r="O4" s="901"/>
      <c r="P4" s="901"/>
      <c r="Q4" s="901"/>
      <c r="R4" s="902"/>
      <c r="S4" s="903" t="s">
        <v>307</v>
      </c>
      <c r="T4" s="904"/>
      <c r="U4" s="904"/>
      <c r="V4" s="904"/>
      <c r="W4" s="904"/>
      <c r="X4" s="905"/>
      <c r="Y4" s="898" t="s">
        <v>43</v>
      </c>
      <c r="Z4" s="897" t="s">
        <v>14</v>
      </c>
      <c r="AA4" s="898" t="s">
        <v>329</v>
      </c>
      <c r="AB4" s="906" t="s">
        <v>313</v>
      </c>
      <c r="AC4" s="837"/>
    </row>
    <row r="5" spans="1:30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08" t="s">
        <v>21</v>
      </c>
      <c r="O5" s="908"/>
      <c r="P5" s="908"/>
      <c r="Q5" s="908"/>
      <c r="R5" s="909" t="s">
        <v>202</v>
      </c>
      <c r="S5" s="898" t="s">
        <v>38</v>
      </c>
      <c r="T5" s="911" t="s">
        <v>21</v>
      </c>
      <c r="U5" s="912"/>
      <c r="V5" s="912"/>
      <c r="W5" s="913"/>
      <c r="X5" s="909" t="s">
        <v>37</v>
      </c>
      <c r="Y5" s="898"/>
      <c r="Z5" s="897"/>
      <c r="AA5" s="898"/>
      <c r="AB5" s="906"/>
      <c r="AC5" s="839"/>
      <c r="AD5" s="840"/>
    </row>
    <row r="6" spans="1:30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42" t="s">
        <v>39</v>
      </c>
      <c r="U6" s="842" t="s">
        <v>40</v>
      </c>
      <c r="V6" s="842" t="s">
        <v>41</v>
      </c>
      <c r="W6" s="842" t="s">
        <v>42</v>
      </c>
      <c r="X6" s="910"/>
      <c r="Y6" s="898"/>
      <c r="Z6" s="897"/>
      <c r="AA6" s="898"/>
      <c r="AB6" s="906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14" t="s">
        <v>23</v>
      </c>
      <c r="B20" s="915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630.0290000000002</v>
      </c>
      <c r="T20" s="821">
        <f t="shared" si="6"/>
        <v>141.327</v>
      </c>
      <c r="U20" s="820">
        <f t="shared" si="6"/>
        <v>360.43</v>
      </c>
      <c r="V20" s="820">
        <f t="shared" si="6"/>
        <v>125.07200000000003</v>
      </c>
      <c r="W20" s="820">
        <f t="shared" si="6"/>
        <v>3.2</v>
      </c>
      <c r="X20" s="822">
        <f t="shared" si="6"/>
        <v>85310.95</v>
      </c>
      <c r="Y20" s="823">
        <f>+S20/G20</f>
        <v>0.8059460731765353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854.609</v>
      </c>
      <c r="AC20" s="68">
        <v>839.8</v>
      </c>
      <c r="AD20" s="77">
        <f>+AC20-AB20</f>
        <v>-14.809000000000083</v>
      </c>
    </row>
    <row r="21" spans="2:28" ht="31.5" customHeight="1">
      <c r="B21" s="916" t="s">
        <v>402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630.0290000000002</v>
      </c>
      <c r="T24" s="854">
        <f t="shared" si="7"/>
        <v>141.327</v>
      </c>
      <c r="U24" s="854">
        <f t="shared" si="7"/>
        <v>360.43</v>
      </c>
      <c r="V24" s="854">
        <f t="shared" si="7"/>
        <v>125.07200000000003</v>
      </c>
      <c r="W24" s="854">
        <f t="shared" si="7"/>
        <v>3.2</v>
      </c>
      <c r="X24" s="854">
        <f t="shared" si="7"/>
        <v>85310.95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854.609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84378.22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15.584000000000174</v>
      </c>
      <c r="T26" s="854">
        <f t="shared" si="8"/>
        <v>-2.4790000000000134</v>
      </c>
      <c r="U26" s="854">
        <f t="shared" si="8"/>
        <v>16.947000000000003</v>
      </c>
      <c r="V26" s="854">
        <f t="shared" si="8"/>
        <v>1.1160000000000139</v>
      </c>
      <c r="W26" s="854">
        <f t="shared" si="8"/>
        <v>0</v>
      </c>
      <c r="X26" s="854">
        <f t="shared" si="8"/>
        <v>932.7299999999959</v>
      </c>
      <c r="Y26" s="854"/>
      <c r="Z26" s="854"/>
      <c r="AA26" s="854">
        <f t="shared" si="8"/>
        <v>0.4900000000000091</v>
      </c>
      <c r="AB26" s="854">
        <f t="shared" si="8"/>
        <v>16.073999999999955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S5:S6"/>
    <mergeCell ref="T5:W5"/>
    <mergeCell ref="X5:X6"/>
    <mergeCell ref="A20:B20"/>
    <mergeCell ref="B21:Z21"/>
    <mergeCell ref="Z4:Z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33" t="s">
        <v>304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</row>
    <row r="2" spans="1:26" s="148" customFormat="1" ht="22.5" customHeight="1">
      <c r="A2" s="934" t="s">
        <v>305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</row>
    <row r="3" spans="1:26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</row>
    <row r="4" spans="1:26" s="151" customFormat="1" ht="33" customHeight="1">
      <c r="A4" s="936" t="s">
        <v>0</v>
      </c>
      <c r="B4" s="937" t="s">
        <v>160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2" t="s">
        <v>44</v>
      </c>
      <c r="N4" s="923"/>
      <c r="O4" s="923"/>
      <c r="P4" s="923"/>
      <c r="Q4" s="923"/>
      <c r="R4" s="924"/>
      <c r="S4" s="925" t="s">
        <v>45</v>
      </c>
      <c r="T4" s="926"/>
      <c r="U4" s="926"/>
      <c r="V4" s="926"/>
      <c r="W4" s="926"/>
      <c r="X4" s="927"/>
      <c r="Y4" s="941" t="s">
        <v>43</v>
      </c>
      <c r="Z4" s="941" t="s">
        <v>14</v>
      </c>
    </row>
    <row r="5" spans="1:26" s="151" customFormat="1" ht="15.7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37" t="s">
        <v>38</v>
      </c>
      <c r="T5" s="928" t="s">
        <v>21</v>
      </c>
      <c r="U5" s="929"/>
      <c r="V5" s="929"/>
      <c r="W5" s="930"/>
      <c r="X5" s="931" t="s">
        <v>37</v>
      </c>
      <c r="Y5" s="941"/>
      <c r="Z5" s="941"/>
    </row>
    <row r="6" spans="1:26" s="151" customFormat="1" ht="102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37"/>
      <c r="T6" s="149" t="s">
        <v>39</v>
      </c>
      <c r="U6" s="149" t="s">
        <v>40</v>
      </c>
      <c r="V6" s="149" t="s">
        <v>41</v>
      </c>
      <c r="W6" s="149" t="s">
        <v>42</v>
      </c>
      <c r="X6" s="932"/>
      <c r="Y6" s="941"/>
      <c r="Z6" s="941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1017" t="s">
        <v>23</v>
      </c>
      <c r="B13" s="1017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A13:B13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PageLayoutView="0" workbookViewId="0" topLeftCell="A16">
      <selection activeCell="V11" sqref="V11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32"/>
      <c r="V1" s="832"/>
      <c r="W1" s="833"/>
      <c r="X1" s="833"/>
    </row>
    <row r="2" spans="1:24" s="569" customFormat="1" ht="22.5" customHeight="1">
      <c r="A2" s="895" t="s">
        <v>377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34"/>
      <c r="V2" s="834"/>
      <c r="W2" s="835"/>
      <c r="X2" s="835"/>
    </row>
    <row r="3" spans="1:24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36"/>
      <c r="V3" s="836"/>
      <c r="W3" s="835"/>
      <c r="X3" s="835"/>
    </row>
    <row r="4" spans="1:23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3" t="s">
        <v>307</v>
      </c>
      <c r="N4" s="904"/>
      <c r="O4" s="904"/>
      <c r="P4" s="904"/>
      <c r="Q4" s="904"/>
      <c r="R4" s="905"/>
      <c r="S4" s="898" t="s">
        <v>43</v>
      </c>
      <c r="T4" s="897" t="s">
        <v>14</v>
      </c>
      <c r="U4" s="898" t="s">
        <v>329</v>
      </c>
      <c r="V4" s="906" t="s">
        <v>313</v>
      </c>
      <c r="W4" s="837"/>
    </row>
    <row r="5" spans="1:24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11" t="s">
        <v>21</v>
      </c>
      <c r="O5" s="912"/>
      <c r="P5" s="912"/>
      <c r="Q5" s="913"/>
      <c r="R5" s="909" t="s">
        <v>37</v>
      </c>
      <c r="S5" s="898"/>
      <c r="T5" s="897"/>
      <c r="U5" s="898"/>
      <c r="V5" s="906"/>
      <c r="W5" s="839"/>
      <c r="X5" s="840"/>
    </row>
    <row r="6" spans="1:24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97"/>
      <c r="U6" s="898"/>
      <c r="V6" s="906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26.25</v>
      </c>
      <c r="N11" s="607">
        <v>7.14</v>
      </c>
      <c r="O11" s="471">
        <v>8.5</v>
      </c>
      <c r="P11" s="471">
        <v>10.61</v>
      </c>
      <c r="Q11" s="471"/>
      <c r="R11" s="618">
        <v>1891</v>
      </c>
      <c r="S11" s="604">
        <f t="shared" si="0"/>
        <v>0.4375</v>
      </c>
      <c r="T11" s="828" t="s">
        <v>384</v>
      </c>
      <c r="U11" s="756">
        <f>6.42+11.65</f>
        <v>18.07</v>
      </c>
      <c r="V11" s="646">
        <f t="shared" si="3"/>
        <v>44.32</v>
      </c>
      <c r="X11" s="77"/>
    </row>
    <row r="12" spans="1:22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82.00000000000001</v>
      </c>
      <c r="N12" s="471">
        <v>19.6</v>
      </c>
      <c r="O12" s="471">
        <v>53.3</v>
      </c>
      <c r="P12" s="471">
        <v>7.2</v>
      </c>
      <c r="Q12" s="471">
        <v>1.9</v>
      </c>
      <c r="R12" s="618">
        <v>10528</v>
      </c>
      <c r="S12" s="604">
        <f t="shared" si="0"/>
        <v>0.9714603892949807</v>
      </c>
      <c r="T12" s="828" t="s">
        <v>385</v>
      </c>
      <c r="U12" s="756">
        <f>1.73+21.67</f>
        <v>23.400000000000002</v>
      </c>
      <c r="V12" s="646">
        <f t="shared" si="3"/>
        <v>105.40000000000002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381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646">
        <f t="shared" si="3"/>
        <v>114.07300000000001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+'[1]TXHL'!U8</f>
        <v>0</v>
      </c>
      <c r="P18" s="607">
        <v>0.76</v>
      </c>
      <c r="Q18" s="623"/>
      <c r="R18" s="618">
        <f>+'[1]TXHL'!X8+31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646">
        <f t="shared" si="3"/>
        <v>6.57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646">
        <f t="shared" si="3"/>
        <v>20.659999999999997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623.8260000000001</v>
      </c>
      <c r="N20" s="821">
        <f t="shared" si="5"/>
        <v>151.059</v>
      </c>
      <c r="O20" s="820">
        <f t="shared" si="5"/>
        <v>345.18100000000004</v>
      </c>
      <c r="P20" s="820">
        <f t="shared" si="5"/>
        <v>124.38600000000002</v>
      </c>
      <c r="Q20" s="820">
        <f t="shared" si="5"/>
        <v>3.2</v>
      </c>
      <c r="R20" s="822">
        <f t="shared" si="5"/>
        <v>83419.98</v>
      </c>
      <c r="S20" s="823">
        <f t="shared" si="0"/>
        <v>0.7692002278651454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50">
        <f>SUM(V8:V19)</f>
        <v>839.796</v>
      </c>
    </row>
    <row r="21" spans="2:22" ht="30" customHeight="1">
      <c r="B21" s="916" t="s">
        <v>48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/>
      <c r="N24" s="854"/>
      <c r="O24" s="854"/>
      <c r="P24" s="854"/>
      <c r="Q24" s="854"/>
      <c r="R24" s="854"/>
    </row>
    <row r="25" spans="12:18" ht="15">
      <c r="L25" s="862"/>
      <c r="N25" s="854"/>
      <c r="O25" s="854"/>
      <c r="P25" s="854"/>
      <c r="Q25" s="854"/>
      <c r="R25" s="854"/>
    </row>
    <row r="26" spans="12:18" ht="15">
      <c r="L26" s="862"/>
      <c r="N26" s="854"/>
      <c r="O26" s="854"/>
      <c r="P26" s="854"/>
      <c r="Q26" s="854"/>
      <c r="R26" s="854"/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3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32"/>
      <c r="AB1" s="832"/>
      <c r="AC1" s="833"/>
      <c r="AD1" s="833"/>
    </row>
    <row r="2" spans="1:30" s="569" customFormat="1" ht="22.5" customHeight="1">
      <c r="A2" s="895" t="s">
        <v>400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34"/>
      <c r="AB2" s="834"/>
      <c r="AC2" s="835"/>
      <c r="AD2" s="835"/>
    </row>
    <row r="3" spans="1:30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36"/>
      <c r="AB3" s="836"/>
      <c r="AC3" s="835"/>
      <c r="AD3" s="835"/>
    </row>
    <row r="4" spans="1:29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0" t="s">
        <v>399</v>
      </c>
      <c r="N4" s="901"/>
      <c r="O4" s="901"/>
      <c r="P4" s="901"/>
      <c r="Q4" s="901"/>
      <c r="R4" s="902"/>
      <c r="S4" s="903" t="s">
        <v>307</v>
      </c>
      <c r="T4" s="904"/>
      <c r="U4" s="904"/>
      <c r="V4" s="904"/>
      <c r="W4" s="904"/>
      <c r="X4" s="905"/>
      <c r="Y4" s="898" t="s">
        <v>43</v>
      </c>
      <c r="Z4" s="897" t="s">
        <v>14</v>
      </c>
      <c r="AA4" s="898" t="s">
        <v>329</v>
      </c>
      <c r="AB4" s="906" t="s">
        <v>313</v>
      </c>
      <c r="AC4" s="837"/>
    </row>
    <row r="5" spans="1:30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08" t="s">
        <v>21</v>
      </c>
      <c r="O5" s="908"/>
      <c r="P5" s="908"/>
      <c r="Q5" s="908"/>
      <c r="R5" s="909" t="s">
        <v>202</v>
      </c>
      <c r="S5" s="898" t="s">
        <v>38</v>
      </c>
      <c r="T5" s="911" t="s">
        <v>21</v>
      </c>
      <c r="U5" s="912"/>
      <c r="V5" s="912"/>
      <c r="W5" s="913"/>
      <c r="X5" s="909" t="s">
        <v>37</v>
      </c>
      <c r="Y5" s="898"/>
      <c r="Z5" s="897"/>
      <c r="AA5" s="898"/>
      <c r="AB5" s="906"/>
      <c r="AC5" s="839"/>
      <c r="AD5" s="840"/>
    </row>
    <row r="6" spans="1:30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42" t="s">
        <v>39</v>
      </c>
      <c r="U6" s="842" t="s">
        <v>40</v>
      </c>
      <c r="V6" s="842" t="s">
        <v>41</v>
      </c>
      <c r="W6" s="842" t="s">
        <v>42</v>
      </c>
      <c r="X6" s="910"/>
      <c r="Y6" s="898"/>
      <c r="Z6" s="897"/>
      <c r="AA6" s="898"/>
      <c r="AB6" s="906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14" t="s">
        <v>23</v>
      </c>
      <c r="B20" s="915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628.1190000000003</v>
      </c>
      <c r="T20" s="821">
        <f t="shared" si="6"/>
        <v>142.516</v>
      </c>
      <c r="U20" s="820">
        <f t="shared" si="6"/>
        <v>357.33099999999996</v>
      </c>
      <c r="V20" s="820">
        <f t="shared" si="6"/>
        <v>125.07200000000003</v>
      </c>
      <c r="W20" s="820">
        <f t="shared" si="6"/>
        <v>3.2</v>
      </c>
      <c r="X20" s="822">
        <f t="shared" si="6"/>
        <v>84559.95</v>
      </c>
      <c r="Y20" s="823">
        <f>+S20/G20</f>
        <v>0.8035027618372681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852.6990000000001</v>
      </c>
      <c r="AC20" s="68">
        <v>839.8</v>
      </c>
      <c r="AD20" s="77">
        <f>+AC20-AB20</f>
        <v>-12.899000000000115</v>
      </c>
    </row>
    <row r="21" spans="2:28" ht="31.5" customHeight="1">
      <c r="B21" s="916" t="s">
        <v>402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628.1190000000003</v>
      </c>
      <c r="T24" s="854">
        <f t="shared" si="7"/>
        <v>142.516</v>
      </c>
      <c r="U24" s="854">
        <f t="shared" si="7"/>
        <v>357.33099999999996</v>
      </c>
      <c r="V24" s="854">
        <f t="shared" si="7"/>
        <v>125.07200000000003</v>
      </c>
      <c r="W24" s="854">
        <f t="shared" si="7"/>
        <v>3.2</v>
      </c>
      <c r="X24" s="854">
        <f t="shared" si="7"/>
        <v>84559.95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852.6990000000001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84378.22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13.674000000000206</v>
      </c>
      <c r="T26" s="854">
        <f t="shared" si="8"/>
        <v>-1.2900000000000205</v>
      </c>
      <c r="U26" s="854">
        <f t="shared" si="8"/>
        <v>13.847999999999956</v>
      </c>
      <c r="V26" s="854">
        <f t="shared" si="8"/>
        <v>1.1160000000000139</v>
      </c>
      <c r="W26" s="854">
        <f t="shared" si="8"/>
        <v>0</v>
      </c>
      <c r="X26" s="854">
        <f t="shared" si="8"/>
        <v>181.72999999999593</v>
      </c>
      <c r="Y26" s="854"/>
      <c r="Z26" s="854"/>
      <c r="AA26" s="854">
        <f t="shared" si="8"/>
        <v>0.4900000000000091</v>
      </c>
      <c r="AB26" s="854">
        <f t="shared" si="8"/>
        <v>14.163999999999987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6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32"/>
      <c r="AB1" s="832"/>
      <c r="AC1" s="833"/>
      <c r="AD1" s="833"/>
    </row>
    <row r="2" spans="1:30" s="569" customFormat="1" ht="22.5" customHeight="1">
      <c r="A2" s="895" t="s">
        <v>396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34"/>
      <c r="AB2" s="834"/>
      <c r="AC2" s="835"/>
      <c r="AD2" s="835"/>
    </row>
    <row r="3" spans="1:30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36"/>
      <c r="AB3" s="836"/>
      <c r="AC3" s="835"/>
      <c r="AD3" s="835"/>
    </row>
    <row r="4" spans="1:29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0" t="s">
        <v>399</v>
      </c>
      <c r="N4" s="901"/>
      <c r="O4" s="901"/>
      <c r="P4" s="901"/>
      <c r="Q4" s="901"/>
      <c r="R4" s="902"/>
      <c r="S4" s="903" t="s">
        <v>307</v>
      </c>
      <c r="T4" s="904"/>
      <c r="U4" s="904"/>
      <c r="V4" s="904"/>
      <c r="W4" s="904"/>
      <c r="X4" s="905"/>
      <c r="Y4" s="898" t="s">
        <v>43</v>
      </c>
      <c r="Z4" s="897" t="s">
        <v>14</v>
      </c>
      <c r="AA4" s="898" t="s">
        <v>329</v>
      </c>
      <c r="AB4" s="906" t="s">
        <v>313</v>
      </c>
      <c r="AC4" s="837"/>
    </row>
    <row r="5" spans="1:30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918" t="s">
        <v>38</v>
      </c>
      <c r="N5" s="919" t="s">
        <v>21</v>
      </c>
      <c r="O5" s="919"/>
      <c r="P5" s="919"/>
      <c r="Q5" s="919"/>
      <c r="R5" s="920" t="s">
        <v>202</v>
      </c>
      <c r="S5" s="898" t="s">
        <v>38</v>
      </c>
      <c r="T5" s="911" t="s">
        <v>21</v>
      </c>
      <c r="U5" s="912"/>
      <c r="V5" s="912"/>
      <c r="W5" s="913"/>
      <c r="X5" s="909" t="s">
        <v>37</v>
      </c>
      <c r="Y5" s="898"/>
      <c r="Z5" s="897"/>
      <c r="AA5" s="898"/>
      <c r="AB5" s="906"/>
      <c r="AC5" s="839"/>
      <c r="AD5" s="840"/>
    </row>
    <row r="6" spans="1:30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918"/>
      <c r="N6" s="874" t="s">
        <v>39</v>
      </c>
      <c r="O6" s="874" t="s">
        <v>40</v>
      </c>
      <c r="P6" s="874" t="s">
        <v>41</v>
      </c>
      <c r="Q6" s="874" t="s">
        <v>42</v>
      </c>
      <c r="R6" s="921"/>
      <c r="S6" s="898"/>
      <c r="T6" s="842" t="s">
        <v>39</v>
      </c>
      <c r="U6" s="842" t="s">
        <v>40</v>
      </c>
      <c r="V6" s="842" t="s">
        <v>41</v>
      </c>
      <c r="W6" s="842" t="s">
        <v>42</v>
      </c>
      <c r="X6" s="910"/>
      <c r="Y6" s="898"/>
      <c r="Z6" s="897"/>
      <c r="AA6" s="898"/>
      <c r="AB6" s="906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75"/>
      <c r="N7" s="876"/>
      <c r="O7" s="876"/>
      <c r="P7" s="876"/>
      <c r="Q7" s="876"/>
      <c r="R7" s="876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806">
        <f>SUM(N8:Q8)</f>
        <v>60.42</v>
      </c>
      <c r="N8" s="806">
        <v>14.74</v>
      </c>
      <c r="O8" s="806">
        <v>28.92</v>
      </c>
      <c r="P8" s="806">
        <v>16.76</v>
      </c>
      <c r="Q8" s="807"/>
      <c r="R8" s="808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695">
        <f aca="true" t="shared" si="1" ref="M9:M19">SUM(N9:Q9)</f>
        <v>65.89999999999999</v>
      </c>
      <c r="N9" s="695">
        <v>14.8</v>
      </c>
      <c r="O9" s="695">
        <v>41.8</v>
      </c>
      <c r="P9" s="695">
        <v>7.8</v>
      </c>
      <c r="Q9" s="696">
        <v>1.5</v>
      </c>
      <c r="R9" s="697">
        <v>10285</v>
      </c>
      <c r="S9" s="826">
        <f aca="true" t="shared" si="2" ref="S9:S19">SUM(T9:W9)</f>
        <v>36.683</v>
      </c>
      <c r="T9" s="344">
        <v>12.1</v>
      </c>
      <c r="U9" s="514">
        <v>20.29</v>
      </c>
      <c r="V9" s="344">
        <v>4.293</v>
      </c>
      <c r="W9" s="344"/>
      <c r="X9" s="827">
        <v>6397.35</v>
      </c>
      <c r="Y9" s="604">
        <f aca="true" t="shared" si="3" ref="Y9:Y19">+S9/M9</f>
        <v>0.5566464339908954</v>
      </c>
      <c r="Z9" s="828" t="s">
        <v>382</v>
      </c>
      <c r="AA9" s="756">
        <f>3.34+2.44+9.8</f>
        <v>15.58</v>
      </c>
      <c r="AB9" s="646">
        <f aca="true" t="shared" si="4" ref="AB9:AB19">+S9+AA9</f>
        <v>52.263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695">
        <f t="shared" si="1"/>
        <v>45.010000000000005</v>
      </c>
      <c r="N10" s="695">
        <v>11.7</v>
      </c>
      <c r="O10" s="695">
        <v>21.78</v>
      </c>
      <c r="P10" s="695">
        <v>11.53</v>
      </c>
      <c r="Q10" s="696"/>
      <c r="R10" s="697">
        <v>7476</v>
      </c>
      <c r="S10" s="826">
        <f>SUM(T10:W10)</f>
        <v>33.6</v>
      </c>
      <c r="T10" s="471">
        <f>8.05-0.2</f>
        <v>7.8500000000000005</v>
      </c>
      <c r="U10" s="471">
        <f>16.915-0.6</f>
        <v>16.314999999999998</v>
      </c>
      <c r="V10" s="471">
        <v>9.435</v>
      </c>
      <c r="W10" s="471"/>
      <c r="X10" s="618">
        <v>5586</v>
      </c>
      <c r="Y10" s="604">
        <f t="shared" si="3"/>
        <v>0.7465007776049766</v>
      </c>
      <c r="Z10" s="473" t="s">
        <v>383</v>
      </c>
      <c r="AA10" s="756">
        <f>0.8+23.99</f>
        <v>24.79</v>
      </c>
      <c r="AB10" s="646">
        <f t="shared" si="4"/>
        <v>58.39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695">
        <f t="shared" si="1"/>
        <v>30.720000000000002</v>
      </c>
      <c r="N11" s="695">
        <v>5.26</v>
      </c>
      <c r="O11" s="695">
        <v>11.73</v>
      </c>
      <c r="P11" s="695">
        <v>13.73</v>
      </c>
      <c r="Q11" s="696"/>
      <c r="R11" s="697">
        <v>3967</v>
      </c>
      <c r="S11" s="826">
        <f>SUM(T11:V11)</f>
        <v>19.830000000000002</v>
      </c>
      <c r="T11" s="471">
        <v>3.13</v>
      </c>
      <c r="U11" s="471">
        <v>6.4</v>
      </c>
      <c r="V11" s="471">
        <v>10.3</v>
      </c>
      <c r="W11" s="471"/>
      <c r="X11" s="618">
        <v>1891</v>
      </c>
      <c r="Y11" s="604">
        <f t="shared" si="3"/>
        <v>0.6455078125</v>
      </c>
      <c r="Z11" s="828" t="s">
        <v>391</v>
      </c>
      <c r="AA11" s="756">
        <f>14.1+7.32</f>
        <v>21.42</v>
      </c>
      <c r="AB11" s="646">
        <f t="shared" si="4"/>
        <v>41.25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695">
        <f t="shared" si="1"/>
        <v>80.61</v>
      </c>
      <c r="N12" s="695">
        <v>19.31</v>
      </c>
      <c r="O12" s="695">
        <v>51.31</v>
      </c>
      <c r="P12" s="695">
        <v>6.86</v>
      </c>
      <c r="Q12" s="696">
        <v>3.13</v>
      </c>
      <c r="R12" s="697">
        <v>10767</v>
      </c>
      <c r="S12" s="767">
        <f t="shared" si="2"/>
        <v>79.69000000000001</v>
      </c>
      <c r="T12" s="471">
        <v>19.6</v>
      </c>
      <c r="U12" s="471">
        <v>50.99</v>
      </c>
      <c r="V12" s="471">
        <v>7.2</v>
      </c>
      <c r="W12" s="471">
        <v>1.9</v>
      </c>
      <c r="X12" s="618">
        <v>10528</v>
      </c>
      <c r="Y12" s="604">
        <f t="shared" si="3"/>
        <v>0.988587023942439</v>
      </c>
      <c r="Z12" s="828" t="s">
        <v>394</v>
      </c>
      <c r="AA12" s="756">
        <f>1.73+21.67+4.31</f>
        <v>27.71</v>
      </c>
      <c r="AB12" s="646">
        <f t="shared" si="4"/>
        <v>107.4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695">
        <f t="shared" si="1"/>
        <v>88.69</v>
      </c>
      <c r="N13" s="695">
        <v>15.02</v>
      </c>
      <c r="O13" s="695">
        <v>43.97</v>
      </c>
      <c r="P13" s="695">
        <v>29.7</v>
      </c>
      <c r="Q13" s="877"/>
      <c r="R13" s="697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695">
        <f t="shared" si="1"/>
        <v>133.72</v>
      </c>
      <c r="N14" s="695">
        <v>30.03</v>
      </c>
      <c r="O14" s="695">
        <f>51.46+1.11</f>
        <v>52.57</v>
      </c>
      <c r="P14" s="695">
        <f>44.18+6.94</f>
        <v>51.12</v>
      </c>
      <c r="Q14" s="696"/>
      <c r="R14" s="697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10965.95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695">
        <f t="shared" si="1"/>
        <v>111.11</v>
      </c>
      <c r="N15" s="695">
        <v>33.27</v>
      </c>
      <c r="O15" s="695">
        <v>61.18</v>
      </c>
      <c r="P15" s="695">
        <v>16.66</v>
      </c>
      <c r="Q15" s="696"/>
      <c r="R15" s="697">
        <v>15190</v>
      </c>
      <c r="S15" s="767">
        <f>SUM(T15:W15)</f>
        <v>92.4</v>
      </c>
      <c r="T15" s="471">
        <v>17.48</v>
      </c>
      <c r="U15" s="471">
        <v>64.1</v>
      </c>
      <c r="V15" s="471">
        <v>10.82</v>
      </c>
      <c r="W15" s="471"/>
      <c r="X15" s="618">
        <v>11209.5</v>
      </c>
      <c r="Y15" s="604">
        <f t="shared" si="3"/>
        <v>0.8316083160831609</v>
      </c>
      <c r="Z15" s="473" t="s">
        <v>390</v>
      </c>
      <c r="AA15" s="756">
        <f>39.7+11.55</f>
        <v>51.25</v>
      </c>
      <c r="AB15" s="646">
        <f>+S15+AA15</f>
        <v>143.65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695">
        <f t="shared" si="1"/>
        <v>63.84</v>
      </c>
      <c r="N16" s="695">
        <v>9.12</v>
      </c>
      <c r="O16" s="695">
        <v>48.99</v>
      </c>
      <c r="P16" s="695">
        <v>5.73</v>
      </c>
      <c r="Q16" s="696"/>
      <c r="R16" s="697">
        <v>9928</v>
      </c>
      <c r="S16" s="767">
        <f>SUM(T16:V16)</f>
        <v>40.071999999999996</v>
      </c>
      <c r="T16" s="471">
        <v>6.8</v>
      </c>
      <c r="U16" s="471">
        <f>0.672+29.7</f>
        <v>30.372</v>
      </c>
      <c r="V16" s="471">
        <v>2.9</v>
      </c>
      <c r="W16" s="471"/>
      <c r="X16" s="618">
        <v>6495.77</v>
      </c>
      <c r="Y16" s="604">
        <f t="shared" si="3"/>
        <v>0.6276942355889723</v>
      </c>
      <c r="Z16" s="473" t="s">
        <v>386</v>
      </c>
      <c r="AA16" s="756">
        <f>1+12.1</f>
        <v>13.1</v>
      </c>
      <c r="AB16" s="646">
        <f t="shared" si="4"/>
        <v>53.172</v>
      </c>
      <c r="AC16" s="77"/>
    </row>
    <row r="17" spans="1:28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695">
        <f t="shared" si="1"/>
        <v>101.4</v>
      </c>
      <c r="N17" s="695">
        <v>43.009</v>
      </c>
      <c r="O17" s="695">
        <v>55.261</v>
      </c>
      <c r="P17" s="695">
        <v>3.13</v>
      </c>
      <c r="Q17" s="696"/>
      <c r="R17" s="697">
        <v>14761</v>
      </c>
      <c r="S17" s="767">
        <f t="shared" si="2"/>
        <v>86.88</v>
      </c>
      <c r="T17" s="471">
        <v>35.75</v>
      </c>
      <c r="U17" s="471">
        <v>49.6</v>
      </c>
      <c r="V17" s="471">
        <v>1.53</v>
      </c>
      <c r="W17" s="471"/>
      <c r="X17" s="618">
        <v>13313</v>
      </c>
      <c r="Y17" s="604">
        <f t="shared" si="3"/>
        <v>0.8568047337278105</v>
      </c>
      <c r="Z17" s="828" t="s">
        <v>387</v>
      </c>
      <c r="AA17" s="756">
        <f>13.49+6.95</f>
        <v>20.44</v>
      </c>
      <c r="AB17" s="646">
        <f t="shared" si="4"/>
        <v>107.32</v>
      </c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798">
        <f t="shared" si="1"/>
        <v>2.6</v>
      </c>
      <c r="N18" s="798">
        <v>1</v>
      </c>
      <c r="O18" s="798"/>
      <c r="P18" s="798">
        <v>1.6</v>
      </c>
      <c r="Q18" s="696"/>
      <c r="R18" s="697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66</v>
      </c>
      <c r="Y18" s="604">
        <f t="shared" si="3"/>
        <v>0.5538461538461538</v>
      </c>
      <c r="Z18" s="473" t="s">
        <v>392</v>
      </c>
      <c r="AA18" s="756">
        <v>5.29</v>
      </c>
      <c r="AB18" s="646">
        <f t="shared" si="4"/>
        <v>6.73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783">
        <f t="shared" si="1"/>
        <v>17.6</v>
      </c>
      <c r="N19" s="783">
        <v>4</v>
      </c>
      <c r="O19" s="783">
        <v>4</v>
      </c>
      <c r="P19" s="783">
        <v>9.6</v>
      </c>
      <c r="Q19" s="784"/>
      <c r="R19" s="785">
        <v>2337</v>
      </c>
      <c r="S19" s="584">
        <f t="shared" si="2"/>
        <v>14.629999999999999</v>
      </c>
      <c r="T19" s="650">
        <v>2.9</v>
      </c>
      <c r="U19" s="650">
        <v>2.78</v>
      </c>
      <c r="V19" s="650">
        <v>8.95</v>
      </c>
      <c r="W19" s="651"/>
      <c r="X19" s="630">
        <v>1202</v>
      </c>
      <c r="Y19" s="610">
        <f t="shared" si="3"/>
        <v>0.8312499999999998</v>
      </c>
      <c r="Z19" s="587" t="s">
        <v>395</v>
      </c>
      <c r="AA19" s="758">
        <v>6.06</v>
      </c>
      <c r="AB19" s="646">
        <f t="shared" si="4"/>
        <v>20.689999999999998</v>
      </c>
    </row>
    <row r="20" spans="1:30" ht="21.75" customHeight="1">
      <c r="A20" s="914" t="s">
        <v>23</v>
      </c>
      <c r="B20" s="915"/>
      <c r="C20" s="815">
        <f aca="true" t="shared" si="5" ref="C20:L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78">
        <f aca="true" t="shared" si="6" ref="M20:R20">+SUM(M8:M19)</f>
        <v>801.62</v>
      </c>
      <c r="N20" s="879">
        <f t="shared" si="6"/>
        <v>201.25900000000001</v>
      </c>
      <c r="O20" s="879">
        <f t="shared" si="6"/>
        <v>421.511</v>
      </c>
      <c r="P20" s="879">
        <f t="shared" si="6"/>
        <v>174.21999999999997</v>
      </c>
      <c r="Q20" s="879">
        <f t="shared" si="6"/>
        <v>4.63</v>
      </c>
      <c r="R20" s="880">
        <f t="shared" si="6"/>
        <v>114231</v>
      </c>
      <c r="S20" s="820">
        <f aca="true" t="shared" si="7" ref="S20:X20">+SUM(S8:S19)</f>
        <v>614.445</v>
      </c>
      <c r="T20" s="821">
        <f t="shared" si="7"/>
        <v>143.806</v>
      </c>
      <c r="U20" s="820">
        <f t="shared" si="7"/>
        <v>343.483</v>
      </c>
      <c r="V20" s="820">
        <f t="shared" si="7"/>
        <v>123.95600000000002</v>
      </c>
      <c r="W20" s="820">
        <f t="shared" si="7"/>
        <v>3.2</v>
      </c>
      <c r="X20" s="822">
        <f t="shared" si="7"/>
        <v>84378.22</v>
      </c>
      <c r="Y20" s="823">
        <f>+S20/G20</f>
        <v>0.7860106994010689</v>
      </c>
      <c r="Z20" s="824" t="str">
        <f>+AA4&amp;AA20&amp;" km"</f>
        <v>Tổng đường dự án và đường khác: 224,09 km</v>
      </c>
      <c r="AA20" s="825">
        <f>+SUM(AA8:AA19)</f>
        <v>224.08999999999997</v>
      </c>
      <c r="AB20" s="850">
        <f>SUM(AB8:AB19)</f>
        <v>838.5350000000001</v>
      </c>
      <c r="AC20" s="68">
        <v>839.8</v>
      </c>
      <c r="AD20" s="77">
        <f>+AC20-AB20</f>
        <v>1.2649999999998727</v>
      </c>
    </row>
    <row r="21" spans="2:28" ht="46.5" customHeight="1">
      <c r="B21" s="916" t="s">
        <v>398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7" ht="15">
      <c r="L24" s="862" t="s">
        <v>361</v>
      </c>
      <c r="R24" s="862" t="s">
        <v>361</v>
      </c>
      <c r="S24" s="854">
        <f aca="true" t="shared" si="8" ref="S24:AA24">+S20</f>
        <v>614.445</v>
      </c>
      <c r="T24" s="854">
        <f t="shared" si="8"/>
        <v>143.806</v>
      </c>
      <c r="U24" s="854">
        <f t="shared" si="8"/>
        <v>343.483</v>
      </c>
      <c r="V24" s="854">
        <f t="shared" si="8"/>
        <v>123.95600000000002</v>
      </c>
      <c r="W24" s="854">
        <f t="shared" si="8"/>
        <v>3.2</v>
      </c>
      <c r="X24" s="854">
        <f t="shared" si="8"/>
        <v>84378.22</v>
      </c>
      <c r="Y24" s="854"/>
      <c r="Z24" s="854">
        <f>93.633-86.88</f>
        <v>6.753</v>
      </c>
      <c r="AA24" s="854">
        <f t="shared" si="8"/>
        <v>224.08999999999997</v>
      </c>
    </row>
    <row r="25" spans="12:27" ht="15">
      <c r="L25" s="862" t="s">
        <v>362</v>
      </c>
      <c r="R25" s="862" t="s">
        <v>362</v>
      </c>
      <c r="S25" s="854">
        <f>+'17.10.2013'!M20</f>
        <v>608.0730000000001</v>
      </c>
      <c r="T25" s="854">
        <f>+'17.10.2013'!N20</f>
        <v>143.806</v>
      </c>
      <c r="U25" s="854">
        <f>+'17.10.2013'!O20</f>
        <v>337.111</v>
      </c>
      <c r="V25" s="854">
        <f>+'17.10.2013'!P20</f>
        <v>123.95600000000002</v>
      </c>
      <c r="W25" s="854">
        <f>+'17.10.2013'!Q20</f>
        <v>3.2</v>
      </c>
      <c r="X25" s="854">
        <f>+'17.10.2013'!R20</f>
        <v>82918.67</v>
      </c>
      <c r="Y25" s="854"/>
      <c r="Z25" s="854"/>
      <c r="AA25" s="854">
        <f>+'17.10.2013'!U20</f>
        <v>224.08999999999997</v>
      </c>
    </row>
    <row r="26" spans="12:27" ht="15">
      <c r="L26" s="862" t="s">
        <v>363</v>
      </c>
      <c r="R26" s="862" t="s">
        <v>363</v>
      </c>
      <c r="S26" s="854">
        <f aca="true" t="shared" si="9" ref="S26:AA26">+S20-S25</f>
        <v>6.371999999999957</v>
      </c>
      <c r="T26" s="854">
        <f t="shared" si="9"/>
        <v>0</v>
      </c>
      <c r="U26" s="854">
        <f t="shared" si="9"/>
        <v>6.372000000000014</v>
      </c>
      <c r="V26" s="854">
        <f t="shared" si="9"/>
        <v>0</v>
      </c>
      <c r="W26" s="854">
        <f t="shared" si="9"/>
        <v>0</v>
      </c>
      <c r="X26" s="854">
        <f t="shared" si="9"/>
        <v>1459.550000000003</v>
      </c>
      <c r="Y26" s="854"/>
      <c r="Z26" s="854"/>
      <c r="AA26" s="854">
        <f t="shared" si="9"/>
        <v>0</v>
      </c>
    </row>
    <row r="28" spans="19:21" ht="15">
      <c r="S28" s="854">
        <f>623.826-614.445</f>
        <v>9.380999999999972</v>
      </c>
      <c r="T28" s="77"/>
      <c r="U28" s="77"/>
    </row>
    <row r="29" spans="19:21" ht="15">
      <c r="S29" s="854">
        <v>-4.358</v>
      </c>
      <c r="T29" s="873"/>
      <c r="U29" s="873"/>
    </row>
    <row r="30" ht="15">
      <c r="S30" s="854">
        <f>9.381+S29</f>
        <v>5.023000000000001</v>
      </c>
    </row>
    <row r="31" ht="15">
      <c r="S31" s="854">
        <f>-10.73-5.023+6.372</f>
        <v>-9.381</v>
      </c>
    </row>
    <row r="32" spans="7:19" ht="15">
      <c r="G32" s="863"/>
      <c r="H32" s="863"/>
      <c r="I32" s="863"/>
      <c r="J32" s="863"/>
      <c r="M32" s="863"/>
      <c r="N32" s="863"/>
      <c r="O32" s="863"/>
      <c r="P32" s="863"/>
      <c r="S32" s="854">
        <f>93.633-86.66</f>
        <v>6.972999999999999</v>
      </c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9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  <c r="R36" s="68">
        <f>4.8+2.52</f>
        <v>7.32</v>
      </c>
      <c r="S36" s="854">
        <f>+L36-6.42</f>
        <v>0.9000000000000004</v>
      </c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M4:R4"/>
    <mergeCell ref="M5:M6"/>
    <mergeCell ref="N5:Q5"/>
    <mergeCell ref="R5:R6"/>
    <mergeCell ref="AA4:AA6"/>
    <mergeCell ref="AB4:AB6"/>
    <mergeCell ref="C5:C6"/>
    <mergeCell ref="D5:F5"/>
    <mergeCell ref="G5:G6"/>
    <mergeCell ref="H5:K5"/>
    <mergeCell ref="Y4:Y6"/>
    <mergeCell ref="Z4:Z6"/>
    <mergeCell ref="T5:W5"/>
    <mergeCell ref="X5:X6"/>
    <mergeCell ref="L5:L6"/>
    <mergeCell ref="S5:S6"/>
    <mergeCell ref="G4:L4"/>
    <mergeCell ref="S4:X4"/>
    <mergeCell ref="A20:B20"/>
    <mergeCell ref="B21:Z21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workbookViewId="0" topLeftCell="A10">
      <selection activeCell="N14" sqref="N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894" t="s">
        <v>36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32"/>
      <c r="V1" s="832"/>
      <c r="W1" s="833"/>
      <c r="X1" s="833"/>
    </row>
    <row r="2" spans="1:24" s="569" customFormat="1" ht="22.5" customHeight="1">
      <c r="A2" s="895" t="s">
        <v>377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34"/>
      <c r="V2" s="834"/>
      <c r="W2" s="835"/>
      <c r="X2" s="835"/>
    </row>
    <row r="3" spans="1:24" s="569" customFormat="1" ht="22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36"/>
      <c r="V3" s="836"/>
      <c r="W3" s="835"/>
      <c r="X3" s="835"/>
    </row>
    <row r="4" spans="1:23" s="838" customFormat="1" ht="46.5" customHeight="1">
      <c r="A4" s="897" t="s">
        <v>0</v>
      </c>
      <c r="B4" s="898" t="s">
        <v>1</v>
      </c>
      <c r="C4" s="899" t="s">
        <v>25</v>
      </c>
      <c r="D4" s="899"/>
      <c r="E4" s="899"/>
      <c r="F4" s="899"/>
      <c r="G4" s="900" t="s">
        <v>378</v>
      </c>
      <c r="H4" s="901"/>
      <c r="I4" s="901"/>
      <c r="J4" s="901"/>
      <c r="K4" s="901"/>
      <c r="L4" s="902"/>
      <c r="M4" s="903" t="s">
        <v>307</v>
      </c>
      <c r="N4" s="904"/>
      <c r="O4" s="904"/>
      <c r="P4" s="904"/>
      <c r="Q4" s="904"/>
      <c r="R4" s="905"/>
      <c r="S4" s="898" t="s">
        <v>43</v>
      </c>
      <c r="T4" s="897" t="s">
        <v>14</v>
      </c>
      <c r="U4" s="898" t="s">
        <v>329</v>
      </c>
      <c r="V4" s="906" t="s">
        <v>313</v>
      </c>
      <c r="W4" s="837"/>
    </row>
    <row r="5" spans="1:24" s="838" customFormat="1" ht="14.25" customHeight="1">
      <c r="A5" s="897"/>
      <c r="B5" s="898"/>
      <c r="C5" s="899" t="s">
        <v>20</v>
      </c>
      <c r="D5" s="907" t="s">
        <v>21</v>
      </c>
      <c r="E5" s="907"/>
      <c r="F5" s="907"/>
      <c r="G5" s="898" t="s">
        <v>38</v>
      </c>
      <c r="H5" s="908" t="s">
        <v>21</v>
      </c>
      <c r="I5" s="908"/>
      <c r="J5" s="908"/>
      <c r="K5" s="908"/>
      <c r="L5" s="909" t="s">
        <v>202</v>
      </c>
      <c r="M5" s="898" t="s">
        <v>38</v>
      </c>
      <c r="N5" s="911" t="s">
        <v>21</v>
      </c>
      <c r="O5" s="912"/>
      <c r="P5" s="912"/>
      <c r="Q5" s="913"/>
      <c r="R5" s="909" t="s">
        <v>37</v>
      </c>
      <c r="S5" s="898"/>
      <c r="T5" s="897"/>
      <c r="U5" s="898"/>
      <c r="V5" s="906"/>
      <c r="W5" s="839"/>
      <c r="X5" s="840"/>
    </row>
    <row r="6" spans="1:24" s="838" customFormat="1" ht="76.5">
      <c r="A6" s="897"/>
      <c r="B6" s="898"/>
      <c r="C6" s="899"/>
      <c r="D6" s="841" t="s">
        <v>17</v>
      </c>
      <c r="E6" s="841" t="s">
        <v>18</v>
      </c>
      <c r="F6" s="841" t="s">
        <v>19</v>
      </c>
      <c r="G6" s="898"/>
      <c r="H6" s="842" t="s">
        <v>39</v>
      </c>
      <c r="I6" s="842" t="s">
        <v>40</v>
      </c>
      <c r="J6" s="842" t="s">
        <v>41</v>
      </c>
      <c r="K6" s="842" t="s">
        <v>42</v>
      </c>
      <c r="L6" s="910"/>
      <c r="M6" s="898"/>
      <c r="N6" s="842" t="s">
        <v>39</v>
      </c>
      <c r="O6" s="842" t="s">
        <v>40</v>
      </c>
      <c r="P6" s="842" t="s">
        <v>41</v>
      </c>
      <c r="Q6" s="842" t="s">
        <v>42</v>
      </c>
      <c r="R6" s="910"/>
      <c r="S6" s="898"/>
      <c r="T6" s="897"/>
      <c r="U6" s="898"/>
      <c r="V6" s="906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SUM(N11:P11)</f>
        <v>19.830000000000002</v>
      </c>
      <c r="N11" s="471">
        <v>3.13</v>
      </c>
      <c r="O11" s="471">
        <v>6.4</v>
      </c>
      <c r="P11" s="471">
        <v>10.3</v>
      </c>
      <c r="Q11" s="471"/>
      <c r="R11" s="618">
        <v>1891</v>
      </c>
      <c r="S11" s="604">
        <f t="shared" si="0"/>
        <v>0.3305</v>
      </c>
      <c r="T11" s="828" t="s">
        <v>391</v>
      </c>
      <c r="U11" s="756">
        <f>14.1+7.32</f>
        <v>21.42</v>
      </c>
      <c r="V11" s="646">
        <f t="shared" si="3"/>
        <v>41.25</v>
      </c>
      <c r="X11" s="77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>SUM(N12:Q12)</f>
        <v>79.69000000000001</v>
      </c>
      <c r="N12" s="471">
        <v>19.6</v>
      </c>
      <c r="O12" s="471">
        <v>50.99</v>
      </c>
      <c r="P12" s="471">
        <v>7.2</v>
      </c>
      <c r="Q12" s="471">
        <v>1.9</v>
      </c>
      <c r="R12" s="618">
        <v>10528</v>
      </c>
      <c r="S12" s="604">
        <f t="shared" si="0"/>
        <v>0.9440936393038659</v>
      </c>
      <c r="T12" s="828" t="s">
        <v>394</v>
      </c>
      <c r="U12" s="756">
        <f>1.73+21.67+4.31</f>
        <v>27.71</v>
      </c>
      <c r="V12" s="646">
        <f t="shared" si="3"/>
        <v>107.4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393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>SUM(N17:Q17)</f>
        <v>86.88</v>
      </c>
      <c r="N17" s="471">
        <v>35.75</v>
      </c>
      <c r="O17" s="471">
        <v>49.6</v>
      </c>
      <c r="P17" s="471">
        <v>1.53</v>
      </c>
      <c r="Q17" s="471"/>
      <c r="R17" s="618">
        <v>13313</v>
      </c>
      <c r="S17" s="604">
        <f t="shared" si="0"/>
        <v>0.8445775168176692</v>
      </c>
      <c r="T17" s="828" t="s">
        <v>387</v>
      </c>
      <c r="U17" s="756">
        <f>13.49+6.95</f>
        <v>20.44</v>
      </c>
      <c r="V17" s="646">
        <f t="shared" si="3"/>
        <v>107.32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388</v>
      </c>
      <c r="U18" s="756">
        <v>5.29</v>
      </c>
      <c r="V18" s="646">
        <f t="shared" si="3"/>
        <v>6.73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14.629999999999999</v>
      </c>
      <c r="N19" s="650">
        <v>2.9</v>
      </c>
      <c r="O19" s="650">
        <v>2.78</v>
      </c>
      <c r="P19" s="650">
        <v>8.95</v>
      </c>
      <c r="Q19" s="651"/>
      <c r="R19" s="630">
        <v>1202</v>
      </c>
      <c r="S19" s="610">
        <f t="shared" si="0"/>
        <v>0.8127777777777777</v>
      </c>
      <c r="T19" s="587" t="s">
        <v>375</v>
      </c>
      <c r="U19" s="758">
        <v>6.06</v>
      </c>
      <c r="V19" s="646">
        <f t="shared" si="3"/>
        <v>20.689999999999998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608.0730000000001</v>
      </c>
      <c r="N20" s="821">
        <f t="shared" si="5"/>
        <v>143.806</v>
      </c>
      <c r="O20" s="820">
        <f t="shared" si="5"/>
        <v>337.111</v>
      </c>
      <c r="P20" s="820">
        <f t="shared" si="5"/>
        <v>123.95600000000002</v>
      </c>
      <c r="Q20" s="820">
        <f t="shared" si="5"/>
        <v>3.2</v>
      </c>
      <c r="R20" s="822">
        <f t="shared" si="5"/>
        <v>82918.67</v>
      </c>
      <c r="S20" s="823">
        <f t="shared" si="0"/>
        <v>0.7497762038751873</v>
      </c>
      <c r="T20" s="824" t="str">
        <f>+U4&amp;U20&amp;" km"</f>
        <v>Tổng đường dự án và đường khác: 224,09 km</v>
      </c>
      <c r="U20" s="825">
        <f>+SUM(U8:U19)</f>
        <v>224.08999999999997</v>
      </c>
      <c r="V20" s="850">
        <f>SUM(V8:V19)</f>
        <v>832.163</v>
      </c>
    </row>
    <row r="21" spans="2:22" ht="48" customHeight="1">
      <c r="B21" s="916" t="s">
        <v>397</v>
      </c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 t="s">
        <v>361</v>
      </c>
      <c r="M24" s="854">
        <f aca="true" t="shared" si="6" ref="M24:R24">+M20</f>
        <v>608.0730000000001</v>
      </c>
      <c r="N24" s="854">
        <f t="shared" si="6"/>
        <v>143.806</v>
      </c>
      <c r="O24" s="854">
        <f t="shared" si="6"/>
        <v>337.111</v>
      </c>
      <c r="P24" s="854">
        <f t="shared" si="6"/>
        <v>123.95600000000002</v>
      </c>
      <c r="Q24" s="854">
        <f t="shared" si="6"/>
        <v>3.2</v>
      </c>
      <c r="R24" s="854">
        <f t="shared" si="6"/>
        <v>82918.67</v>
      </c>
    </row>
    <row r="25" spans="12:18" ht="15">
      <c r="L25" s="862" t="s">
        <v>362</v>
      </c>
      <c r="M25" s="854">
        <f>+'10.10.2013'!M20</f>
        <v>602.704</v>
      </c>
      <c r="N25" s="854">
        <f>+'10.10.2013'!N20</f>
        <v>150.482</v>
      </c>
      <c r="O25" s="854">
        <f>+'10.10.2013'!O20</f>
        <v>330.648</v>
      </c>
      <c r="P25" s="854">
        <f>+'10.10.2013'!P20</f>
        <v>118.37400000000002</v>
      </c>
      <c r="Q25" s="854">
        <f>+'10.10.2013'!Q20</f>
        <v>3.2</v>
      </c>
      <c r="R25" s="854">
        <f>+'10.10.2013'!R20</f>
        <v>82640.01</v>
      </c>
    </row>
    <row r="26" spans="12:18" ht="15">
      <c r="L26" s="862" t="s">
        <v>363</v>
      </c>
      <c r="M26" s="854">
        <f aca="true" t="shared" si="7" ref="M26:R26">+M20-M25</f>
        <v>5.369000000000142</v>
      </c>
      <c r="N26" s="854">
        <f t="shared" si="7"/>
        <v>-6.675999999999988</v>
      </c>
      <c r="O26" s="854">
        <f t="shared" si="7"/>
        <v>6.462999999999965</v>
      </c>
      <c r="P26" s="854">
        <f t="shared" si="7"/>
        <v>5.581999999999994</v>
      </c>
      <c r="Q26" s="854">
        <f t="shared" si="7"/>
        <v>0</v>
      </c>
      <c r="R26" s="854">
        <f t="shared" si="7"/>
        <v>278.6600000000035</v>
      </c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H7">
      <selection activeCell="U15" sqref="U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5" width="5.50390625" style="26" customWidth="1"/>
    <col min="26" max="26" width="13.875" style="649" customWidth="1"/>
    <col min="27" max="27" width="5.125" style="26" customWidth="1"/>
    <col min="28" max="28" width="8.25390625" style="26" customWidth="1"/>
    <col min="29" max="31" width="9.00390625" style="26" customWidth="1"/>
    <col min="32" max="16384" width="9.00390625" style="26" customWidth="1"/>
  </cols>
  <sheetData>
    <row r="1" spans="1:28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636"/>
      <c r="X1" s="636"/>
      <c r="Y1" s="636"/>
      <c r="Z1" s="636"/>
      <c r="AA1" s="146"/>
      <c r="AB1" s="146"/>
    </row>
    <row r="2" spans="1:28" s="148" customFormat="1" ht="22.5" customHeight="1">
      <c r="A2" s="934" t="s">
        <v>373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637"/>
      <c r="X2" s="637"/>
      <c r="Y2" s="637"/>
      <c r="Z2" s="637"/>
      <c r="AA2" s="147"/>
      <c r="AB2" s="147"/>
    </row>
    <row r="3" spans="1:28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658"/>
      <c r="X3" s="658"/>
      <c r="Y3" s="658"/>
      <c r="Z3" s="658"/>
      <c r="AA3" s="147"/>
      <c r="AB3" s="147"/>
    </row>
    <row r="4" spans="1:27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374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869"/>
      <c r="W4" s="869"/>
      <c r="X4" s="869"/>
      <c r="Y4" s="869"/>
      <c r="Z4" s="942" t="s">
        <v>313</v>
      </c>
      <c r="AA4" s="150"/>
    </row>
    <row r="5" spans="1:28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869"/>
      <c r="W5" s="869"/>
      <c r="X5" s="869"/>
      <c r="Y5" s="869"/>
      <c r="Z5" s="942"/>
      <c r="AA5" s="152"/>
      <c r="AB5" s="153"/>
    </row>
    <row r="6" spans="1:28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865" t="s">
        <v>379</v>
      </c>
      <c r="W6" s="869" t="s">
        <v>380</v>
      </c>
      <c r="X6" s="869"/>
      <c r="Y6" s="869"/>
      <c r="Z6" s="942"/>
      <c r="AA6" s="155"/>
      <c r="AB6" s="153"/>
    </row>
    <row r="7" spans="1:28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866"/>
      <c r="W7" s="870"/>
      <c r="X7" s="870"/>
      <c r="Y7" s="870"/>
      <c r="Z7" s="643"/>
      <c r="AA7" s="155"/>
      <c r="AB7" s="643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43.36</v>
      </c>
      <c r="N8" s="465">
        <v>9.02</v>
      </c>
      <c r="O8" s="465">
        <v>21.82</v>
      </c>
      <c r="P8" s="465">
        <v>12.52</v>
      </c>
      <c r="Q8" s="465"/>
      <c r="R8" s="616">
        <v>9102.05</v>
      </c>
      <c r="S8" s="549">
        <f aca="true" t="shared" si="0" ref="S8:S20">+M8/G8</f>
        <v>0.7073409461663948</v>
      </c>
      <c r="T8" s="814" t="s">
        <v>376</v>
      </c>
      <c r="U8" s="755">
        <f>4.15+3.64</f>
        <v>7.790000000000001</v>
      </c>
      <c r="V8" s="867">
        <v>3.64</v>
      </c>
      <c r="W8" s="871">
        <f>+X8-V8-M8</f>
        <v>4.149999999999999</v>
      </c>
      <c r="X8" s="867">
        <v>51.15</v>
      </c>
      <c r="Y8" s="872">
        <f>+V8+W8</f>
        <v>7.789999999999999</v>
      </c>
      <c r="Z8" s="646">
        <f>+M8+U8</f>
        <v>51.15</v>
      </c>
      <c r="AA8" s="71"/>
    </row>
    <row r="9" spans="1:27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867">
        <v>8</v>
      </c>
      <c r="W9" s="871">
        <f aca="true" t="shared" si="3" ref="W9:W19">+X9-V9-M9</f>
        <v>7.577000000000005</v>
      </c>
      <c r="X9" s="867">
        <f>4.84+47.42</f>
        <v>52.260000000000005</v>
      </c>
      <c r="Y9" s="872">
        <f aca="true" t="shared" si="4" ref="Y9:Y19">+V9+W9</f>
        <v>15.577000000000005</v>
      </c>
      <c r="Z9" s="646">
        <f aca="true" t="shared" si="5" ref="Z9:Z19">+M9+U9</f>
        <v>52.263</v>
      </c>
      <c r="AA9" s="77"/>
    </row>
    <row r="10" spans="1:29" s="68" customFormat="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867">
        <v>21.63</v>
      </c>
      <c r="W10" s="871">
        <f t="shared" si="3"/>
        <v>3.1699999999999946</v>
      </c>
      <c r="X10" s="867">
        <v>58.4</v>
      </c>
      <c r="Y10" s="872">
        <f t="shared" si="4"/>
        <v>24.799999999999994</v>
      </c>
      <c r="Z10" s="646">
        <f t="shared" si="5"/>
        <v>58.39</v>
      </c>
      <c r="AA10" s="77">
        <f>+Y10-U10</f>
        <v>0.009999999999994458</v>
      </c>
      <c r="AC10" s="77"/>
    </row>
    <row r="11" spans="1:28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384</v>
      </c>
      <c r="U11" s="756">
        <f>6.42+11.65</f>
        <v>18.07</v>
      </c>
      <c r="V11" s="867">
        <v>14.1</v>
      </c>
      <c r="W11" s="871">
        <f t="shared" si="3"/>
        <v>3.9699999999999953</v>
      </c>
      <c r="X11" s="867">
        <v>41.23</v>
      </c>
      <c r="Y11" s="872">
        <f t="shared" si="4"/>
        <v>18.069999999999993</v>
      </c>
      <c r="Z11" s="646">
        <f t="shared" si="5"/>
        <v>41.230000000000004</v>
      </c>
      <c r="AA11" s="36">
        <f>+Y11-U11</f>
        <v>0</v>
      </c>
      <c r="AB11" s="36"/>
    </row>
    <row r="12" spans="1:27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80.2</v>
      </c>
      <c r="N12" s="471">
        <v>18.1</v>
      </c>
      <c r="O12" s="471">
        <v>53</v>
      </c>
      <c r="P12" s="471">
        <v>7.2</v>
      </c>
      <c r="Q12" s="471">
        <v>1.9</v>
      </c>
      <c r="R12" s="618">
        <v>10528</v>
      </c>
      <c r="S12" s="604">
        <f t="shared" si="0"/>
        <v>0.9501356490421639</v>
      </c>
      <c r="T12" s="828" t="s">
        <v>385</v>
      </c>
      <c r="U12" s="756">
        <f>1.73+21.67</f>
        <v>23.400000000000002</v>
      </c>
      <c r="V12" s="867">
        <v>21.63</v>
      </c>
      <c r="W12" s="871">
        <f t="shared" si="3"/>
        <v>1.769999999999996</v>
      </c>
      <c r="X12" s="867">
        <v>103.6</v>
      </c>
      <c r="Y12" s="872">
        <f t="shared" si="4"/>
        <v>23.399999999999995</v>
      </c>
      <c r="Z12" s="646">
        <f t="shared" si="5"/>
        <v>103.60000000000001</v>
      </c>
      <c r="AA12" s="36">
        <f>+Y12-U12</f>
        <v>0</v>
      </c>
    </row>
    <row r="13" spans="1:26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828" t="s">
        <v>381</v>
      </c>
      <c r="U13" s="756">
        <v>12.2</v>
      </c>
      <c r="V13" s="867">
        <v>11.5</v>
      </c>
      <c r="W13" s="871">
        <f t="shared" si="3"/>
        <v>0.7019999999999982</v>
      </c>
      <c r="X13" s="867">
        <v>70.14</v>
      </c>
      <c r="Y13" s="872">
        <f t="shared" si="4"/>
        <v>12.201999999999998</v>
      </c>
      <c r="Z13" s="646">
        <f t="shared" si="5"/>
        <v>70.138</v>
      </c>
    </row>
    <row r="14" spans="1:27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867">
        <v>4.5</v>
      </c>
      <c r="W14" s="871">
        <f t="shared" si="3"/>
        <v>6.210000000000008</v>
      </c>
      <c r="X14" s="867">
        <v>103.9</v>
      </c>
      <c r="Y14" s="872">
        <f t="shared" si="4"/>
        <v>10.710000000000008</v>
      </c>
      <c r="Z14" s="646">
        <f t="shared" si="5"/>
        <v>111.65</v>
      </c>
      <c r="AA14" s="77">
        <f>+Y14-U14</f>
        <v>-7.749999999999993</v>
      </c>
    </row>
    <row r="15" spans="1:28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85.19999999999999</v>
      </c>
      <c r="N15" s="471">
        <v>17.48</v>
      </c>
      <c r="O15" s="471">
        <v>56.9</v>
      </c>
      <c r="P15" s="471">
        <v>10.82</v>
      </c>
      <c r="Q15" s="471"/>
      <c r="R15" s="618">
        <v>11209.5</v>
      </c>
      <c r="S15" s="604">
        <f t="shared" si="0"/>
        <v>0.9063829787234041</v>
      </c>
      <c r="T15" s="473" t="s">
        <v>389</v>
      </c>
      <c r="U15" s="756">
        <f>26.6+7.5+17.15</f>
        <v>51.25</v>
      </c>
      <c r="V15" s="867">
        <v>39.7</v>
      </c>
      <c r="W15" s="871">
        <f t="shared" si="3"/>
        <v>19.299999999999997</v>
      </c>
      <c r="X15" s="867">
        <f>12.5+131.7</f>
        <v>144.2</v>
      </c>
      <c r="Y15" s="872">
        <f>+V15+W15</f>
        <v>59</v>
      </c>
      <c r="Z15" s="646">
        <f t="shared" si="5"/>
        <v>136.45</v>
      </c>
      <c r="AA15" s="36">
        <f>+Y15-U15</f>
        <v>7.75</v>
      </c>
      <c r="AB15" s="36">
        <f>+AA15+AA14</f>
        <v>7.105427357601002E-15</v>
      </c>
    </row>
    <row r="16" spans="1:27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5715.8</v>
      </c>
      <c r="S16" s="604">
        <f t="shared" si="0"/>
        <v>0.864793678665496</v>
      </c>
      <c r="T16" s="473" t="s">
        <v>386</v>
      </c>
      <c r="U16" s="756">
        <f>1+12.1</f>
        <v>13.1</v>
      </c>
      <c r="V16" s="867">
        <v>12.1</v>
      </c>
      <c r="W16" s="871">
        <f t="shared" si="3"/>
        <v>1</v>
      </c>
      <c r="X16" s="867">
        <v>52.5</v>
      </c>
      <c r="Y16" s="872">
        <f t="shared" si="4"/>
        <v>13.1</v>
      </c>
      <c r="Z16" s="646">
        <f t="shared" si="5"/>
        <v>52.5</v>
      </c>
      <c r="AA16" s="77">
        <f>+Y16-U16</f>
        <v>0</v>
      </c>
    </row>
    <row r="17" spans="1:27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867">
        <v>18.296</v>
      </c>
      <c r="W17" s="871">
        <f t="shared" si="3"/>
        <v>2.140999999999991</v>
      </c>
      <c r="X17" s="867">
        <f>2.14+111.93</f>
        <v>114.07000000000001</v>
      </c>
      <c r="Y17" s="872">
        <f t="shared" si="4"/>
        <v>20.43699999999999</v>
      </c>
      <c r="Z17" s="646">
        <f t="shared" si="5"/>
        <v>114.07300000000001</v>
      </c>
      <c r="AA17" s="77">
        <f>+Y17-U17</f>
        <v>-0.003000000000010772</v>
      </c>
    </row>
    <row r="18" spans="1:28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867">
        <v>1.43</v>
      </c>
      <c r="W18" s="871">
        <f t="shared" si="3"/>
        <v>3.7000000000000006</v>
      </c>
      <c r="X18" s="867">
        <v>6.57</v>
      </c>
      <c r="Y18" s="871">
        <f t="shared" si="4"/>
        <v>5.130000000000001</v>
      </c>
      <c r="Z18" s="646">
        <f t="shared" si="5"/>
        <v>6.57</v>
      </c>
      <c r="AA18" s="77">
        <f>+Y18-U18</f>
        <v>0</v>
      </c>
      <c r="AB18" s="77">
        <f>+AA18+3.41</f>
        <v>3.41</v>
      </c>
    </row>
    <row r="19" spans="1:26" s="68" customFormat="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867">
        <v>0</v>
      </c>
      <c r="W19" s="871">
        <f t="shared" si="3"/>
        <v>5.760000000000002</v>
      </c>
      <c r="X19" s="867">
        <f>3.1+17.56</f>
        <v>20.66</v>
      </c>
      <c r="Y19" s="872">
        <f t="shared" si="4"/>
        <v>5.760000000000002</v>
      </c>
      <c r="Z19" s="646">
        <f t="shared" si="5"/>
        <v>20.659999999999997</v>
      </c>
    </row>
    <row r="20" spans="1:26" ht="21.75" customHeight="1">
      <c r="A20" s="914" t="s">
        <v>23</v>
      </c>
      <c r="B20" s="915"/>
      <c r="C20" s="815">
        <f aca="true" t="shared" si="6" ref="C20:L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793.496</v>
      </c>
      <c r="H20" s="818">
        <f t="shared" si="6"/>
        <v>224.264</v>
      </c>
      <c r="I20" s="818">
        <f t="shared" si="6"/>
        <v>365.29699999999997</v>
      </c>
      <c r="J20" s="818">
        <f t="shared" si="6"/>
        <v>200.805</v>
      </c>
      <c r="K20" s="818">
        <f>+SUM(K8:K19)</f>
        <v>3.13</v>
      </c>
      <c r="L20" s="819">
        <f t="shared" si="6"/>
        <v>115280.51800000001</v>
      </c>
      <c r="M20" s="820">
        <f aca="true" t="shared" si="7" ref="M20:R20">+SUM(M8:M19)</f>
        <v>602.704</v>
      </c>
      <c r="N20" s="821">
        <f t="shared" si="7"/>
        <v>150.482</v>
      </c>
      <c r="O20" s="820">
        <f t="shared" si="7"/>
        <v>330.648</v>
      </c>
      <c r="P20" s="820">
        <f t="shared" si="7"/>
        <v>118.37400000000002</v>
      </c>
      <c r="Q20" s="820">
        <f t="shared" si="7"/>
        <v>3.2</v>
      </c>
      <c r="R20" s="822">
        <f t="shared" si="7"/>
        <v>82640.01</v>
      </c>
      <c r="S20" s="823">
        <f t="shared" si="0"/>
        <v>0.7595551836430177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68"/>
      <c r="W20" s="868"/>
      <c r="X20" s="868"/>
      <c r="Y20" s="868"/>
      <c r="Z20" s="656">
        <f>SUM(Z8:Z19)</f>
        <v>818.6740000000001</v>
      </c>
    </row>
    <row r="21" spans="2:26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726"/>
      <c r="W21" s="726"/>
      <c r="X21" s="726"/>
      <c r="Y21" s="726"/>
      <c r="Z21" s="770"/>
    </row>
    <row r="22" spans="2:26" ht="15">
      <c r="B22" s="162"/>
      <c r="O22" s="36"/>
      <c r="R22" s="165"/>
      <c r="S22" s="166"/>
      <c r="Z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8" ref="M24:R24">+M20</f>
        <v>602.704</v>
      </c>
      <c r="N24" s="163">
        <f t="shared" si="8"/>
        <v>150.482</v>
      </c>
      <c r="O24" s="163">
        <f t="shared" si="8"/>
        <v>330.648</v>
      </c>
      <c r="P24" s="163">
        <f t="shared" si="8"/>
        <v>118.37400000000002</v>
      </c>
      <c r="Q24" s="163">
        <f t="shared" si="8"/>
        <v>3.2</v>
      </c>
      <c r="R24" s="163">
        <f t="shared" si="8"/>
        <v>82640.01</v>
      </c>
    </row>
    <row r="25" spans="12:18" ht="15">
      <c r="L25" s="831" t="s">
        <v>362</v>
      </c>
      <c r="M25" s="163">
        <f>+'03.10.2013'!M20</f>
        <v>586.5480000000001</v>
      </c>
      <c r="N25" s="163">
        <f>+'03.10.2013'!N20</f>
        <v>144.436</v>
      </c>
      <c r="O25" s="163">
        <f>+'03.10.2013'!O20</f>
        <v>321.916</v>
      </c>
      <c r="P25" s="163">
        <f>+'03.10.2013'!P20</f>
        <v>116.99600000000002</v>
      </c>
      <c r="Q25" s="163">
        <f>+'03.10.2013'!Q20</f>
        <v>3.2</v>
      </c>
      <c r="R25" s="163">
        <f>+'03.10.2013'!R20</f>
        <v>79406.5</v>
      </c>
    </row>
    <row r="26" spans="12:18" ht="15">
      <c r="L26" s="831" t="s">
        <v>363</v>
      </c>
      <c r="M26" s="163">
        <f aca="true" t="shared" si="9" ref="M26:R26">+M20-M25</f>
        <v>16.155999999999835</v>
      </c>
      <c r="N26" s="163">
        <f t="shared" si="9"/>
        <v>6.045999999999992</v>
      </c>
      <c r="O26" s="163">
        <f t="shared" si="9"/>
        <v>8.732000000000028</v>
      </c>
      <c r="P26" s="163">
        <f t="shared" si="9"/>
        <v>1.3780000000000001</v>
      </c>
      <c r="Q26" s="163">
        <f t="shared" si="9"/>
        <v>0</v>
      </c>
      <c r="R26" s="163">
        <f t="shared" si="9"/>
        <v>3233.5099999999948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6" ht="15">
      <c r="M44" s="649"/>
      <c r="Z44" s="26"/>
    </row>
    <row r="45" spans="13:26" ht="15">
      <c r="M45" s="649"/>
      <c r="Z45" s="26"/>
    </row>
    <row r="46" spans="13:26" ht="15">
      <c r="M46" s="649"/>
      <c r="Z46" s="26"/>
    </row>
    <row r="47" spans="13:26" ht="15">
      <c r="M47" s="649"/>
      <c r="Z47" s="26"/>
    </row>
    <row r="48" spans="13:26" ht="15">
      <c r="M48" s="649"/>
      <c r="Z48" s="26"/>
    </row>
    <row r="49" spans="13:26" ht="15">
      <c r="M49" s="649"/>
      <c r="Z49" s="26"/>
    </row>
    <row r="50" spans="13:26" ht="15">
      <c r="M50" s="649"/>
      <c r="Z50" s="26"/>
    </row>
  </sheetData>
  <sheetProtection/>
  <mergeCells count="22">
    <mergeCell ref="S4:S6"/>
    <mergeCell ref="T4:T6"/>
    <mergeCell ref="L5:L6"/>
    <mergeCell ref="M5:M6"/>
    <mergeCell ref="A20:B20"/>
    <mergeCell ref="B21:T21"/>
    <mergeCell ref="U4:U6"/>
    <mergeCell ref="Z4:Z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33" t="s">
        <v>36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636"/>
      <c r="V1" s="636"/>
      <c r="W1" s="146"/>
      <c r="X1" s="146"/>
    </row>
    <row r="2" spans="1:24" s="148" customFormat="1" ht="22.5" customHeight="1">
      <c r="A2" s="934" t="s">
        <v>372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637"/>
      <c r="V2" s="637"/>
      <c r="W2" s="147"/>
      <c r="X2" s="147"/>
    </row>
    <row r="3" spans="1:24" s="148" customFormat="1" ht="22.5" customHeight="1">
      <c r="A3" s="935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658"/>
      <c r="V3" s="658"/>
      <c r="W3" s="147"/>
      <c r="X3" s="147"/>
    </row>
    <row r="4" spans="1:23" s="151" customFormat="1" ht="46.5" customHeight="1">
      <c r="A4" s="936" t="s">
        <v>0</v>
      </c>
      <c r="B4" s="937" t="s">
        <v>1</v>
      </c>
      <c r="C4" s="938" t="s">
        <v>25</v>
      </c>
      <c r="D4" s="938"/>
      <c r="E4" s="938"/>
      <c r="F4" s="938"/>
      <c r="G4" s="922" t="s">
        <v>26</v>
      </c>
      <c r="H4" s="923"/>
      <c r="I4" s="923"/>
      <c r="J4" s="923"/>
      <c r="K4" s="923"/>
      <c r="L4" s="924"/>
      <c r="M4" s="925" t="s">
        <v>307</v>
      </c>
      <c r="N4" s="926"/>
      <c r="O4" s="926"/>
      <c r="P4" s="926"/>
      <c r="Q4" s="926"/>
      <c r="R4" s="927"/>
      <c r="S4" s="941" t="s">
        <v>43</v>
      </c>
      <c r="T4" s="936" t="s">
        <v>14</v>
      </c>
      <c r="U4" s="941" t="s">
        <v>329</v>
      </c>
      <c r="V4" s="942" t="s">
        <v>313</v>
      </c>
      <c r="W4" s="150"/>
    </row>
    <row r="5" spans="1:24" s="151" customFormat="1" ht="14.25" customHeight="1">
      <c r="A5" s="936"/>
      <c r="B5" s="937"/>
      <c r="C5" s="938" t="s">
        <v>20</v>
      </c>
      <c r="D5" s="943" t="s">
        <v>21</v>
      </c>
      <c r="E5" s="943"/>
      <c r="F5" s="943"/>
      <c r="G5" s="937" t="s">
        <v>38</v>
      </c>
      <c r="H5" s="944" t="s">
        <v>21</v>
      </c>
      <c r="I5" s="944"/>
      <c r="J5" s="944"/>
      <c r="K5" s="944"/>
      <c r="L5" s="931" t="s">
        <v>202</v>
      </c>
      <c r="M5" s="937" t="s">
        <v>38</v>
      </c>
      <c r="N5" s="928" t="s">
        <v>21</v>
      </c>
      <c r="O5" s="929"/>
      <c r="P5" s="929"/>
      <c r="Q5" s="930"/>
      <c r="R5" s="931" t="s">
        <v>37</v>
      </c>
      <c r="S5" s="941"/>
      <c r="T5" s="936"/>
      <c r="U5" s="941"/>
      <c r="V5" s="942"/>
      <c r="W5" s="152"/>
      <c r="X5" s="153"/>
    </row>
    <row r="6" spans="1:24" s="151" customFormat="1" ht="76.5">
      <c r="A6" s="936"/>
      <c r="B6" s="937"/>
      <c r="C6" s="938"/>
      <c r="D6" s="154" t="s">
        <v>17</v>
      </c>
      <c r="E6" s="154" t="s">
        <v>18</v>
      </c>
      <c r="F6" s="154" t="s">
        <v>19</v>
      </c>
      <c r="G6" s="937"/>
      <c r="H6" s="149" t="s">
        <v>39</v>
      </c>
      <c r="I6" s="149" t="s">
        <v>40</v>
      </c>
      <c r="J6" s="149" t="s">
        <v>41</v>
      </c>
      <c r="K6" s="149" t="s">
        <v>42</v>
      </c>
      <c r="L6" s="932"/>
      <c r="M6" s="937"/>
      <c r="N6" s="149" t="s">
        <v>39</v>
      </c>
      <c r="O6" s="149" t="s">
        <v>40</v>
      </c>
      <c r="P6" s="149" t="s">
        <v>41</v>
      </c>
      <c r="Q6" s="149" t="s">
        <v>42</v>
      </c>
      <c r="R6" s="932"/>
      <c r="S6" s="941"/>
      <c r="T6" s="936"/>
      <c r="U6" s="941"/>
      <c r="V6" s="942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4" t="s">
        <v>23</v>
      </c>
      <c r="B20" s="915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39" t="s">
        <v>48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+'26.9.2013'!M20</f>
        <v>586.5480000000001</v>
      </c>
      <c r="N25" s="163">
        <f>+'26.9.2013'!N20</f>
        <v>144.436</v>
      </c>
      <c r="O25" s="163">
        <f>+'26.9.2013'!O20</f>
        <v>321.916</v>
      </c>
      <c r="P25" s="163">
        <f>+'26.9.2013'!P20</f>
        <v>116.99600000000002</v>
      </c>
      <c r="Q25" s="163">
        <f>+'26.9.2013'!Q20</f>
        <v>3.2</v>
      </c>
      <c r="R25" s="163">
        <f>+'26.9.2013'!R20</f>
        <v>79406.5</v>
      </c>
    </row>
    <row r="26" spans="12:18" ht="15">
      <c r="L26" s="831" t="s">
        <v>363</v>
      </c>
      <c r="M26" s="163">
        <f aca="true" t="shared" si="7" ref="M26:R26">+M20-M25</f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2013-11-15T00:41:23Z</cp:lastPrinted>
  <dcterms:created xsi:type="dcterms:W3CDTF">2013-04-24T06:59:08Z</dcterms:created>
  <dcterms:modified xsi:type="dcterms:W3CDTF">2013-11-15T01:14:12Z</dcterms:modified>
  <cp:category/>
  <cp:version/>
  <cp:contentType/>
  <cp:contentStatus/>
</cp:coreProperties>
</file>