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0"/>
          </rPr>
          <t>Thanh 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<sst xmlns="http://schemas.openxmlformats.org/spreadsheetml/2006/main" count="663" uniqueCount="467">
  <si>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</si>
  <si>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</si>
  <si>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</si>
  <si>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</si>
  <si>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</si>
  <si>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</si>
  <si>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</si>
  <si>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</si>
  <si>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</si>
  <si>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</si>
  <si>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</si>
  <si>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</si>
  <si>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</si>
  <si>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</si>
  <si>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</si>
  <si>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</si>
  <si>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</si>
  <si>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</si>
  <si>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</si>
  <si>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</si>
  <si>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</si>
  <si>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</si>
  <si>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</si>
  <si>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</si>
  <si>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</si>
  <si>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</si>
  <si>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</si>
  <si>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</si>
  <si>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</si>
  <si>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</si>
  <si>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</si>
  <si>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</si>
  <si>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</si>
  <si>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</si>
  <si>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</si>
  <si>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</si>
  <si>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</si>
  <si>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</si>
  <si>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</si>
  <si>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</si>
  <si>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</si>
  <si>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</si>
  <si>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</si>
  <si>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</si>
  <si>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</si>
  <si>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</si>
  <si>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</si>
  <si>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</si>
  <si>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</si>
  <si>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</si>
  <si>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</si>
  <si>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</si>
  <si>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</si>
  <si>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</si>
  <si>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</si>
  <si>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</si>
  <si>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</si>
  <si>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</si>
  <si>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</si>
  <si>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</si>
  <si>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</si>
  <si>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</si>
  <si>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</si>
  <si>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</si>
  <si>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</si>
  <si>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</si>
  <si>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</si>
  <si>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</si>
  <si>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</si>
  <si>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</si>
  <si>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</si>
  <si>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</si>
  <si>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</si>
  <si>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</si>
  <si>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</si>
  <si>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</si>
  <si>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</si>
  <si>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</si>
  <si>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</si>
  <si>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</si>
  <si>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</si>
  <si>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</si>
  <si>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</si>
  <si>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</si>
  <si>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</si>
  <si>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</si>
  <si>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</si>
  <si>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</si>
  <si>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</si>
  <si>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</si>
  <si>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</si>
  <si>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</si>
  <si>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</si>
  <si>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</si>
  <si>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</si>
  <si>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</si>
  <si>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</si>
  <si>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</si>
  <si>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</si>
  <si>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</si>
  <si>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</si>
  <si>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</si>
  <si>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</si>
  <si>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</si>
  <si>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</si>
  <si>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</si>
  <si>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</si>
  <si>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</si>
  <si>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</si>
  <si>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</si>
  <si>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</si>
  <si>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</si>
  <si>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</si>
  <si>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</si>
  <si>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</si>
  <si>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</si>
  <si>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</si>
  <si>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</si>
  <si>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</si>
  <si>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</si>
  <si>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</si>
  <si>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</si>
  <si>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</si>
  <si>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</si>
  <si>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</si>
  <si>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</si>
  <si>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</si>
  <si>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</si>
  <si>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</si>
  <si>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</si>
  <si>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</si>
  <si>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</si>
  <si>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</si>
  <si>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</si>
  <si>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</si>
  <si>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</si>
  <si>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</si>
  <si>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</si>
  <si>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</si>
  <si>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</si>
  <si>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</si>
  <si>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</si>
  <si>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</si>
  <si>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</si>
  <si>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</si>
  <si>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</si>
  <si>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</si>
  <si>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</si>
  <si>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</si>
  <si>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</si>
  <si>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</si>
  <si>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</si>
  <si>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</si>
  <si>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</si>
  <si>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</si>
  <si>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</si>
  <si>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</si>
  <si>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</si>
  <si>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</si>
  <si>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</si>
  <si>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</si>
  <si>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</si>
  <si>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</si>
  <si>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</si>
  <si>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</si>
  <si>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</si>
  <si>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</si>
  <si>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</si>
  <si>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</si>
  <si>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</si>
  <si>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</si>
  <si>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</si>
  <si>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</si>
  <si>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</si>
  <si>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</si>
  <si>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</si>
  <si>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</si>
  <si>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</si>
  <si>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</si>
  <si>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</si>
  <si>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</si>
  <si>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</si>
  <si>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</si>
  <si>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</si>
  <si>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</si>
  <si>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</si>
  <si>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</si>
  <si>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</si>
  <si>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</si>
  <si>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</si>
  <si>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</si>
  <si>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</si>
  <si>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</si>
  <si>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</si>
  <si>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</si>
  <si>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</si>
  <si>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</si>
  <si>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</si>
  <si>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</si>
  <si>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</si>
  <si>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</si>
  <si>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</si>
  <si>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</si>
  <si>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</si>
  <si>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</si>
  <si>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</si>
  <si>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</si>
  <si>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</si>
  <si>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</si>
  <si>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</si>
  <si>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</si>
  <si>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</si>
  <si>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</si>
  <si>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</si>
  <si>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</si>
  <si>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</si>
  <si>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</si>
  <si>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</si>
  <si>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</si>
  <si>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</si>
  <si>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</si>
  <si>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</si>
  <si>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</si>
  <si>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</si>
  <si>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</si>
  <si>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</si>
  <si>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</si>
  <si>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</si>
  <si>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</si>
  <si>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</si>
  <si>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</si>
  <si>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</si>
  <si>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</si>
  <si>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</si>
  <si>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</si>
  <si>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</si>
  <si>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</si>
  <si>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</si>
  <si>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</si>
  <si>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</si>
  <si>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</si>
  <si>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</si>
  <si>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</si>
  <si>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</si>
  <si>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</si>
  <si>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</si>
  <si>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</si>
  <si>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</si>
  <si>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</si>
  <si>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</si>
  <si>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</si>
  <si>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</si>
  <si>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</si>
  <si>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</si>
  <si>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</si>
  <si>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</si>
  <si>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</si>
  <si>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</si>
  <si>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</si>
  <si>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</si>
  <si>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</si>
  <si>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</si>
  <si>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</si>
  <si>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</si>
  <si>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</si>
  <si>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</si>
  <si>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</si>
  <si>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</si>
  <si>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</si>
  <si>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</si>
  <si>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</si>
  <si>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</si>
  <si>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</si>
  <si>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</si>
  <si>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</si>
  <si>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</si>
  <si>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</si>
  <si>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</si>
  <si>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</si>
  <si>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</si>
  <si>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</si>
  <si>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</si>
  <si>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</si>
  <si>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</si>
  <si>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</si>
  <si>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</si>
  <si>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</si>
  <si>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</si>
  <si>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</si>
  <si>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</si>
  <si>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</si>
  <si>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</si>
  <si>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</si>
  <si>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</si>
  <si>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</si>
  <si>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</si>
  <si>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</si>
  <si>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</si>
  <si>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</si>
  <si>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</si>
  <si>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</si>
  <si>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</si>
  <si>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</si>
  <si>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</si>
  <si>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</si>
  <si>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</si>
  <si>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</si>
  <si>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</si>
  <si>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</si>
  <si>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</si>
  <si>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</si>
  <si>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</si>
  <si>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</si>
  <si>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</si>
  <si>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</si>
  <si>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</si>
  <si>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</si>
  <si>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</si>
  <si>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</si>
  <si>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</si>
  <si>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</si>
  <si>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</si>
  <si>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</si>
  <si>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</si>
  <si>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</si>
  <si>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</si>
  <si>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</si>
  <si>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</si>
  <si>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</si>
  <si>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</si>
  <si>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</si>
  <si>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</si>
  <si>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</si>
  <si>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</si>
  <si>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</si>
  <si>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</si>
  <si>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</si>
  <si>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</si>
  <si>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</si>
  <si>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</si>
  <si>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</si>
  <si>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</si>
  <si>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</si>
  <si>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</si>
  <si>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</si>
  <si>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</si>
  <si>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</si>
  <si>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</si>
  <si>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</si>
  <si>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</si>
  <si>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</si>
  <si>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</si>
  <si>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</si>
  <si>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</si>
  <si>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</si>
  <si>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</si>
  <si>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</si>
  <si>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</si>
  <si>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</si>
  <si>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</si>
  <si>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</si>
  <si>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</si>
  <si>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</si>
  <si>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</si>
  <si>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</si>
  <si>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</si>
  <si>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</si>
  <si>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</si>
  <si>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</si>
  <si>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</si>
  <si>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</si>
  <si>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</si>
  <si>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</si>
  <si>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</si>
  <si>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</si>
  <si>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</si>
  <si>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</si>
  <si>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</si>
  <si>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</si>
  <si>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</si>
  <si>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</si>
  <si>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</si>
  <si>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</si>
  <si>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</si>
  <si>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</si>
  <si>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</si>
  <si>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</si>
  <si>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</si>
  <si>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</si>
  <si>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</si>
  <si>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</si>
  <si>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</si>
  <si>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</si>
  <si>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</si>
  <si>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</si>
  <si>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</si>
  <si>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</si>
  <si>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</si>
  <si>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</si>
  <si>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</si>
  <si>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</si>
  <si>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</si>
  <si>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</si>
  <si>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</si>
  <si>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</si>
  <si>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</si>
  <si>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</si>
  <si>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</si>
  <si>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</si>
  <si>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</si>
  <si>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</si>
  <si>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</si>
  <si>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</si>
  <si>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</si>
  <si>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</si>
  <si>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</si>
  <si>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</si>
  <si>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</si>
  <si>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</si>
  <si>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</si>
  <si>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</si>
  <si>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</si>
  <si>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</si>
  <si>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</si>
  <si>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</si>
  <si>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</si>
  <si>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</si>
  <si>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</si>
  <si>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</si>
  <si>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</si>
  <si>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</si>
  <si>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</si>
  <si>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</si>
  <si>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</si>
  <si>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</si>
  <si>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</si>
  <si>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</si>
  <si>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</si>
  <si>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</si>
  <si>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</si>
  <si>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</si>
  <si>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</si>
  <si>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</si>
  <si>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</si>
  <si>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</si>
  <si>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</si>
  <si>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</si>
  <si>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</si>
  <si>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</si>
  <si>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</si>
  <si>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</si>
  <si>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</si>
  <si>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</si>
  <si>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</si>
  <si>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</si>
  <si>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</si>
  <si>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</si>
  <si>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</si>
  <si>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</si>
  <si>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</si>
  <si>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</si>
  <si>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</si>
  <si>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Khối lượng thực hiện đến thời điểm báo cáo</t>
  </si>
  <si>
    <r>
      <t xml:space="preserve">Ghi chú
</t>
    </r>
    <r>
      <rPr>
        <sz val="10"/>
        <rFont val="Times New Roman"/>
        <family val="1"/>
      </rPr>
      <t>(Tăng so với tuần trước - km)</t>
    </r>
  </si>
  <si>
    <t>UBND TỈNH HÀ TĨNH</t>
  </si>
  <si>
    <t>Kết quả thực hiện Luỹ kế đến thời điểm báo cáo</t>
  </si>
  <si>
    <t>BÁO CÁO KẾT QỦA THỰC HIỆN XÂY DỰNG ĐƯỜNG GTNT ĐẾN NGÀY 20/6/2014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</si>
</sst>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4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0" fontId="69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69" fillId="2" borderId="0">
      <alignment/>
      <protection/>
    </xf>
    <xf numFmtId="0" fontId="7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0" fillId="2" borderId="0">
      <alignment/>
      <protection/>
    </xf>
    <xf numFmtId="0" fontId="113" fillId="3" borderId="0" applyNumberFormat="0" applyBorder="0" applyAlignment="0" applyProtection="0"/>
    <xf numFmtId="0" fontId="91" fillId="4" borderId="0" applyNumberFormat="0" applyBorder="0" applyAlignment="0" applyProtection="0"/>
    <xf numFmtId="0" fontId="113" fillId="5" borderId="0" applyNumberFormat="0" applyBorder="0" applyAlignment="0" applyProtection="0"/>
    <xf numFmtId="0" fontId="91" fillId="6" borderId="0" applyNumberFormat="0" applyBorder="0" applyAlignment="0" applyProtection="0"/>
    <xf numFmtId="0" fontId="113" fillId="7" borderId="0" applyNumberFormat="0" applyBorder="0" applyAlignment="0" applyProtection="0"/>
    <xf numFmtId="0" fontId="91" fillId="8" borderId="0" applyNumberFormat="0" applyBorder="0" applyAlignment="0" applyProtection="0"/>
    <xf numFmtId="0" fontId="113" fillId="9" borderId="0" applyNumberFormat="0" applyBorder="0" applyAlignment="0" applyProtection="0"/>
    <xf numFmtId="0" fontId="91" fillId="10" borderId="0" applyNumberFormat="0" applyBorder="0" applyAlignment="0" applyProtection="0"/>
    <xf numFmtId="0" fontId="113" fillId="11" borderId="0" applyNumberFormat="0" applyBorder="0" applyAlignment="0" applyProtection="0"/>
    <xf numFmtId="0" fontId="91" fillId="12" borderId="0" applyNumberFormat="0" applyBorder="0" applyAlignment="0" applyProtection="0"/>
    <xf numFmtId="0" fontId="113" fillId="13" borderId="0" applyNumberFormat="0" applyBorder="0" applyAlignment="0" applyProtection="0"/>
    <xf numFmtId="0" fontId="91" fillId="14" borderId="0" applyNumberFormat="0" applyBorder="0" applyAlignment="0" applyProtection="0"/>
    <xf numFmtId="0" fontId="71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1" fillId="2" borderId="0">
      <alignment/>
      <protection/>
    </xf>
    <xf numFmtId="0" fontId="72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2" fillId="0" borderId="0">
      <alignment wrapText="1"/>
      <protection/>
    </xf>
    <xf numFmtId="0" fontId="113" fillId="15" borderId="0" applyNumberFormat="0" applyBorder="0" applyAlignment="0" applyProtection="0"/>
    <xf numFmtId="0" fontId="91" fillId="16" borderId="0" applyNumberFormat="0" applyBorder="0" applyAlignment="0" applyProtection="0"/>
    <xf numFmtId="0" fontId="113" fillId="17" borderId="0" applyNumberFormat="0" applyBorder="0" applyAlignment="0" applyProtection="0"/>
    <xf numFmtId="0" fontId="91" fillId="18" borderId="0" applyNumberFormat="0" applyBorder="0" applyAlignment="0" applyProtection="0"/>
    <xf numFmtId="0" fontId="113" fillId="19" borderId="0" applyNumberFormat="0" applyBorder="0" applyAlignment="0" applyProtection="0"/>
    <xf numFmtId="0" fontId="91" fillId="20" borderId="0" applyNumberFormat="0" applyBorder="0" applyAlignment="0" applyProtection="0"/>
    <xf numFmtId="0" fontId="113" fillId="21" borderId="0" applyNumberFormat="0" applyBorder="0" applyAlignment="0" applyProtection="0"/>
    <xf numFmtId="0" fontId="91" fillId="10" borderId="0" applyNumberFormat="0" applyBorder="0" applyAlignment="0" applyProtection="0"/>
    <xf numFmtId="0" fontId="113" fillId="22" borderId="0" applyNumberFormat="0" applyBorder="0" applyAlignment="0" applyProtection="0"/>
    <xf numFmtId="0" fontId="91" fillId="16" borderId="0" applyNumberFormat="0" applyBorder="0" applyAlignment="0" applyProtection="0"/>
    <xf numFmtId="0" fontId="113" fillId="23" borderId="0" applyNumberFormat="0" applyBorder="0" applyAlignment="0" applyProtection="0"/>
    <xf numFmtId="0" fontId="91" fillId="24" borderId="0" applyNumberFormat="0" applyBorder="0" applyAlignment="0" applyProtection="0"/>
    <xf numFmtId="0" fontId="114" fillId="25" borderId="0" applyNumberFormat="0" applyBorder="0" applyAlignment="0" applyProtection="0"/>
    <xf numFmtId="0" fontId="93" fillId="26" borderId="0" applyNumberFormat="0" applyBorder="0" applyAlignment="0" applyProtection="0"/>
    <xf numFmtId="0" fontId="114" fillId="27" borderId="0" applyNumberFormat="0" applyBorder="0" applyAlignment="0" applyProtection="0"/>
    <xf numFmtId="0" fontId="93" fillId="18" borderId="0" applyNumberFormat="0" applyBorder="0" applyAlignment="0" applyProtection="0"/>
    <xf numFmtId="0" fontId="114" fillId="28" borderId="0" applyNumberFormat="0" applyBorder="0" applyAlignment="0" applyProtection="0"/>
    <xf numFmtId="0" fontId="93" fillId="20" borderId="0" applyNumberFormat="0" applyBorder="0" applyAlignment="0" applyProtection="0"/>
    <xf numFmtId="0" fontId="114" fillId="29" borderId="0" applyNumberFormat="0" applyBorder="0" applyAlignment="0" applyProtection="0"/>
    <xf numFmtId="0" fontId="93" fillId="30" borderId="0" applyNumberFormat="0" applyBorder="0" applyAlignment="0" applyProtection="0"/>
    <xf numFmtId="0" fontId="114" fillId="31" borderId="0" applyNumberFormat="0" applyBorder="0" applyAlignment="0" applyProtection="0"/>
    <xf numFmtId="0" fontId="93" fillId="32" borderId="0" applyNumberFormat="0" applyBorder="0" applyAlignment="0" applyProtection="0"/>
    <xf numFmtId="0" fontId="114" fillId="33" borderId="0" applyNumberFormat="0" applyBorder="0" applyAlignment="0" applyProtection="0"/>
    <xf numFmtId="0" fontId="93" fillId="34" borderId="0" applyNumberFormat="0" applyBorder="0" applyAlignment="0" applyProtection="0"/>
    <xf numFmtId="0" fontId="114" fillId="35" borderId="0" applyNumberFormat="0" applyBorder="0" applyAlignment="0" applyProtection="0"/>
    <xf numFmtId="0" fontId="93" fillId="36" borderId="0" applyNumberFormat="0" applyBorder="0" applyAlignment="0" applyProtection="0"/>
    <xf numFmtId="0" fontId="114" fillId="37" borderId="0" applyNumberFormat="0" applyBorder="0" applyAlignment="0" applyProtection="0"/>
    <xf numFmtId="0" fontId="93" fillId="38" borderId="0" applyNumberFormat="0" applyBorder="0" applyAlignment="0" applyProtection="0"/>
    <xf numFmtId="0" fontId="114" fillId="39" borderId="0" applyNumberFormat="0" applyBorder="0" applyAlignment="0" applyProtection="0"/>
    <xf numFmtId="0" fontId="93" fillId="40" borderId="0" applyNumberFormat="0" applyBorder="0" applyAlignment="0" applyProtection="0"/>
    <xf numFmtId="0" fontId="114" fillId="41" borderId="0" applyNumberFormat="0" applyBorder="0" applyAlignment="0" applyProtection="0"/>
    <xf numFmtId="0" fontId="93" fillId="30" borderId="0" applyNumberFormat="0" applyBorder="0" applyAlignment="0" applyProtection="0"/>
    <xf numFmtId="0" fontId="114" fillId="42" borderId="0" applyNumberFormat="0" applyBorder="0" applyAlignment="0" applyProtection="0"/>
    <xf numFmtId="0" fontId="93" fillId="32" borderId="0" applyNumberFormat="0" applyBorder="0" applyAlignment="0" applyProtection="0"/>
    <xf numFmtId="0" fontId="114" fillId="43" borderId="0" applyNumberFormat="0" applyBorder="0" applyAlignment="0" applyProtection="0"/>
    <xf numFmtId="0" fontId="93" fillId="44" borderId="0" applyNumberFormat="0" applyBorder="0" applyAlignment="0" applyProtection="0"/>
    <xf numFmtId="0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115" fillId="45" borderId="0" applyNumberFormat="0" applyBorder="0" applyAlignment="0" applyProtection="0"/>
    <xf numFmtId="0" fontId="94" fillId="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174" fontId="75" fillId="0" borderId="0" applyFill="0" applyBorder="0" applyAlignment="0">
      <protection/>
    </xf>
    <xf numFmtId="174" fontId="75" fillId="0" borderId="0" applyFill="0" applyBorder="0" applyAlignment="0">
      <protection/>
    </xf>
    <xf numFmtId="0" fontId="116" fillId="46" borderId="1" applyNumberFormat="0" applyAlignment="0" applyProtection="0"/>
    <xf numFmtId="0" fontId="95" fillId="2" borderId="2" applyNumberFormat="0" applyAlignment="0" applyProtection="0"/>
    <xf numFmtId="0" fontId="117" fillId="47" borderId="3" applyNumberFormat="0" applyAlignment="0" applyProtection="0"/>
    <xf numFmtId="0" fontId="9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0" fontId="119" fillId="49" borderId="0" applyNumberFormat="0" applyBorder="0" applyAlignment="0" applyProtection="0"/>
    <xf numFmtId="0" fontId="98" fillId="8" borderId="0" applyNumberFormat="0" applyBorder="0" applyAlignment="0" applyProtection="0"/>
    <xf numFmtId="38" fontId="78" fillId="2" borderId="0" applyNumberFormat="0" applyBorder="0" applyAlignment="0" applyProtection="0"/>
    <xf numFmtId="0" fontId="79" fillId="0" borderId="5" applyNumberFormat="0" applyAlignment="0" applyProtection="0"/>
    <xf numFmtId="0" fontId="79" fillId="0" borderId="6">
      <alignment horizontal="left" vertical="center"/>
      <protection/>
    </xf>
    <xf numFmtId="0" fontId="12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2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22" fillId="0" borderId="11" applyNumberFormat="0" applyFill="0" applyAlignment="0" applyProtection="0"/>
    <xf numFmtId="0" fontId="101" fillId="0" borderId="12" applyNumberFormat="0" applyFill="0" applyAlignment="0" applyProtection="0"/>
    <xf numFmtId="0" fontId="1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2" fillId="0" borderId="13">
      <alignment vertical="center"/>
      <protection/>
    </xf>
    <xf numFmtId="0" fontId="123" fillId="50" borderId="1" applyNumberFormat="0" applyAlignment="0" applyProtection="0"/>
    <xf numFmtId="10" fontId="78" fillId="51" borderId="13" applyNumberFormat="0" applyBorder="0" applyAlignment="0" applyProtection="0"/>
    <xf numFmtId="0" fontId="102" fillId="14" borderId="2" applyNumberFormat="0" applyAlignment="0" applyProtection="0"/>
    <xf numFmtId="0" fontId="124" fillId="0" borderId="14" applyNumberFormat="0" applyFill="0" applyAlignment="0" applyProtection="0"/>
    <xf numFmtId="0" fontId="103" fillId="0" borderId="15" applyNumberFormat="0" applyFill="0" applyAlignment="0" applyProtection="0"/>
    <xf numFmtId="205" fontId="75" fillId="0" borderId="16">
      <alignment/>
      <protection/>
    </xf>
    <xf numFmtId="205" fontId="75" fillId="0" borderId="16">
      <alignment/>
      <protection/>
    </xf>
    <xf numFmtId="0" fontId="81" fillId="0" borderId="0" applyNumberFormat="0" applyFont="0" applyFill="0" applyAlignment="0">
      <protection/>
    </xf>
    <xf numFmtId="0" fontId="125" fillId="52" borderId="0" applyNumberFormat="0" applyBorder="0" applyAlignment="0" applyProtection="0"/>
    <xf numFmtId="0" fontId="104" fillId="53" borderId="0" applyNumberFormat="0" applyBorder="0" applyAlignment="0" applyProtection="0"/>
    <xf numFmtId="196" fontId="75" fillId="0" borderId="0">
      <alignment/>
      <protection/>
    </xf>
    <xf numFmtId="196" fontId="7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1" fillId="51" borderId="18" applyNumberFormat="0" applyFont="0" applyAlignment="0" applyProtection="0"/>
    <xf numFmtId="0" fontId="126" fillId="46" borderId="19" applyNumberFormat="0" applyAlignment="0" applyProtection="0"/>
    <xf numFmtId="0" fontId="105" fillId="2" borderId="20" applyNumberFormat="0" applyAlignment="0" applyProtection="0"/>
    <xf numFmtId="9" fontId="0" fillId="0" borderId="0" applyFont="0" applyFill="0" applyBorder="0" applyAlignment="0" applyProtection="0"/>
    <xf numFmtId="10" fontId="75" fillId="0" borderId="0" applyFont="0" applyFill="0" applyBorder="0" applyAlignment="0" applyProtection="0"/>
    <xf numFmtId="10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75" fillId="0" borderId="22" applyNumberFormat="0" applyFont="0" applyFill="0" applyAlignment="0" applyProtection="0"/>
    <xf numFmtId="0" fontId="107" fillId="0" borderId="23" applyNumberFormat="0" applyFill="0" applyAlignment="0" applyProtection="0"/>
    <xf numFmtId="0" fontId="1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0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200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8" fillId="0" borderId="0">
      <alignment/>
      <protection/>
    </xf>
    <xf numFmtId="0" fontId="81" fillId="0" borderId="0">
      <alignment/>
      <protection/>
    </xf>
    <xf numFmtId="193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2" fontId="86" fillId="0" borderId="0" applyFont="0" applyFill="0" applyBorder="0" applyAlignment="0" applyProtection="0"/>
    <xf numFmtId="6" fontId="66" fillId="0" borderId="0" applyFont="0" applyFill="0" applyBorder="0" applyAlignment="0" applyProtection="0"/>
    <xf numFmtId="194" fontId="86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99" applyFont="1" applyBorder="1" applyAlignment="1">
      <alignment/>
      <protection/>
    </xf>
    <xf numFmtId="0" fontId="16" fillId="0" borderId="16" xfId="199" applyFont="1" applyBorder="1" applyAlignment="1">
      <alignment horizontal="center"/>
      <protection/>
    </xf>
    <xf numFmtId="0" fontId="18" fillId="0" borderId="16" xfId="199" applyFont="1" applyBorder="1">
      <alignment/>
      <protection/>
    </xf>
    <xf numFmtId="2" fontId="12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173" fontId="16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99" applyFont="1" applyBorder="1" applyAlignment="1">
      <alignment horizontal="center"/>
      <protection/>
    </xf>
    <xf numFmtId="0" fontId="18" fillId="0" borderId="24" xfId="199" applyFont="1" applyBorder="1">
      <alignment/>
      <protection/>
    </xf>
    <xf numFmtId="2" fontId="12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173" fontId="16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99" applyFont="1" applyBorder="1">
      <alignment/>
      <protection/>
    </xf>
    <xf numFmtId="0" fontId="16" fillId="0" borderId="24" xfId="199" applyFont="1" applyBorder="1">
      <alignment/>
      <protection/>
    </xf>
    <xf numFmtId="174" fontId="16" fillId="0" borderId="24" xfId="199" applyNumberFormat="1" applyFont="1" applyBorder="1">
      <alignment/>
      <protection/>
    </xf>
    <xf numFmtId="0" fontId="16" fillId="0" borderId="25" xfId="199" applyFont="1" applyBorder="1" applyAlignment="1">
      <alignment horizontal="center"/>
      <protection/>
    </xf>
    <xf numFmtId="0" fontId="18" fillId="0" borderId="25" xfId="199" applyFont="1" applyBorder="1">
      <alignment/>
      <protection/>
    </xf>
    <xf numFmtId="2" fontId="12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99" applyFont="1" applyBorder="1">
      <alignment/>
      <protection/>
    </xf>
    <xf numFmtId="0" fontId="15" fillId="0" borderId="26" xfId="199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99" applyFont="1">
      <alignment/>
      <protection/>
    </xf>
    <xf numFmtId="0" fontId="12" fillId="0" borderId="0" xfId="199" applyFont="1" applyBorder="1" applyAlignment="1">
      <alignment wrapText="1"/>
      <protection/>
    </xf>
    <xf numFmtId="0" fontId="19" fillId="0" borderId="0" xfId="19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199" applyFont="1" applyBorder="1">
      <alignment/>
      <protection/>
    </xf>
    <xf numFmtId="0" fontId="18" fillId="0" borderId="28" xfId="199" applyFont="1" applyBorder="1">
      <alignment/>
      <protection/>
    </xf>
    <xf numFmtId="2" fontId="12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173" fontId="16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0" fontId="16" fillId="0" borderId="29" xfId="199" applyFont="1" applyBorder="1">
      <alignment/>
      <protection/>
    </xf>
    <xf numFmtId="0" fontId="18" fillId="0" borderId="29" xfId="199" applyFont="1" applyBorder="1">
      <alignment/>
      <protection/>
    </xf>
    <xf numFmtId="2" fontId="12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173" fontId="16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0" fontId="18" fillId="0" borderId="29" xfId="199" applyFont="1" applyBorder="1">
      <alignment/>
      <protection/>
    </xf>
    <xf numFmtId="0" fontId="16" fillId="0" borderId="29" xfId="199" applyFont="1" applyBorder="1">
      <alignment/>
      <protection/>
    </xf>
    <xf numFmtId="174" fontId="16" fillId="0" borderId="29" xfId="199" applyNumberFormat="1" applyFont="1" applyBorder="1">
      <alignment/>
      <protection/>
    </xf>
    <xf numFmtId="0" fontId="16" fillId="0" borderId="30" xfId="199" applyFont="1" applyBorder="1">
      <alignment/>
      <protection/>
    </xf>
    <xf numFmtId="0" fontId="18" fillId="0" borderId="30" xfId="199" applyFont="1" applyBorder="1">
      <alignment/>
      <protection/>
    </xf>
    <xf numFmtId="2" fontId="16" fillId="0" borderId="30" xfId="199" applyNumberFormat="1" applyFont="1" applyBorder="1">
      <alignment/>
      <protection/>
    </xf>
    <xf numFmtId="173" fontId="16" fillId="0" borderId="30" xfId="199" applyNumberFormat="1" applyFont="1" applyBorder="1">
      <alignment/>
      <protection/>
    </xf>
    <xf numFmtId="0" fontId="18" fillId="0" borderId="31" xfId="199" applyFont="1" applyBorder="1">
      <alignment/>
      <protection/>
    </xf>
    <xf numFmtId="2" fontId="12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0" fontId="16" fillId="0" borderId="13" xfId="199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99" applyFont="1" applyFill="1" applyBorder="1">
      <alignment/>
      <protection/>
    </xf>
    <xf numFmtId="2" fontId="16" fillId="0" borderId="0" xfId="199" applyNumberFormat="1" applyFont="1" applyFill="1" applyBorder="1">
      <alignment/>
      <protection/>
    </xf>
    <xf numFmtId="0" fontId="16" fillId="0" borderId="0" xfId="19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8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49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49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49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4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5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59" fillId="0" borderId="24" xfId="118" applyNumberFormat="1" applyFont="1" applyFill="1" applyBorder="1" applyAlignment="1">
      <alignment/>
    </xf>
    <xf numFmtId="184" fontId="59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59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5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4" fillId="0" borderId="24" xfId="205" applyNumberFormat="1" applyFont="1" applyFill="1" applyBorder="1" applyAlignment="1">
      <alignment vertical="center"/>
    </xf>
    <xf numFmtId="186" fontId="21" fillId="0" borderId="13" xfId="205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9" fontId="3" fillId="0" borderId="16" xfId="205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59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59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7" fillId="0" borderId="3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0" fontId="58" fillId="0" borderId="33" xfId="139" applyNumberFormat="1" applyFont="1" applyFill="1" applyBorder="1" applyAlignment="1">
      <alignment/>
    </xf>
    <xf numFmtId="0" fontId="58" fillId="0" borderId="24" xfId="139" applyNumberFormat="1" applyFont="1" applyFill="1" applyBorder="1" applyAlignment="1">
      <alignment/>
    </xf>
    <xf numFmtId="0" fontId="58" fillId="0" borderId="25" xfId="139" applyNumberFormat="1" applyFont="1" applyFill="1" applyBorder="1" applyAlignment="1">
      <alignment/>
    </xf>
    <xf numFmtId="0" fontId="58" fillId="0" borderId="33" xfId="140" applyNumberFormat="1" applyFont="1" applyFill="1" applyBorder="1" applyAlignment="1">
      <alignment horizontal="right"/>
    </xf>
    <xf numFmtId="0" fontId="58" fillId="0" borderId="24" xfId="140" applyNumberFormat="1" applyFont="1" applyFill="1" applyBorder="1" applyAlignment="1">
      <alignment/>
    </xf>
    <xf numFmtId="0" fontId="58" fillId="0" borderId="25" xfId="140" applyNumberFormat="1" applyFont="1" applyFill="1" applyBorder="1" applyAlignment="1">
      <alignment/>
    </xf>
    <xf numFmtId="0" fontId="58" fillId="0" borderId="33" xfId="124" applyNumberFormat="1" applyFont="1" applyFill="1" applyBorder="1" applyAlignment="1">
      <alignment/>
    </xf>
    <xf numFmtId="0" fontId="58" fillId="0" borderId="24" xfId="124" applyNumberFormat="1" applyFont="1" applyFill="1" applyBorder="1" applyAlignment="1">
      <alignment/>
    </xf>
    <xf numFmtId="0" fontId="58" fillId="0" borderId="25" xfId="124" applyNumberFormat="1" applyFont="1" applyFill="1" applyBorder="1" applyAlignment="1">
      <alignment/>
    </xf>
    <xf numFmtId="0" fontId="109" fillId="0" borderId="16" xfId="184" applyFont="1" applyBorder="1">
      <alignment/>
      <protection/>
    </xf>
    <xf numFmtId="0" fontId="109" fillId="0" borderId="24" xfId="184" applyFont="1" applyBorder="1">
      <alignment/>
      <protection/>
    </xf>
    <xf numFmtId="0" fontId="109" fillId="0" borderId="25" xfId="184" applyFont="1" applyBorder="1">
      <alignment/>
      <protection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177" fontId="3" fillId="8" borderId="16" xfId="129" applyNumberFormat="1" applyFont="1" applyFill="1" applyBorder="1" applyAlignment="1">
      <alignment/>
    </xf>
    <xf numFmtId="177" fontId="3" fillId="8" borderId="16" xfId="0" applyNumberFormat="1" applyFont="1" applyFill="1" applyBorder="1" applyAlignment="1">
      <alignment/>
    </xf>
    <xf numFmtId="177" fontId="3" fillId="8" borderId="24" xfId="129" applyNumberFormat="1" applyFont="1" applyFill="1" applyBorder="1" applyAlignment="1">
      <alignment/>
    </xf>
    <xf numFmtId="177" fontId="7" fillId="8" borderId="24" xfId="129" applyNumberFormat="1" applyFont="1" applyFill="1" applyBorder="1" applyAlignment="1">
      <alignment/>
    </xf>
    <xf numFmtId="177" fontId="3" fillId="8" borderId="24" xfId="0" applyNumberFormat="1" applyFont="1" applyFill="1" applyBorder="1" applyAlignment="1">
      <alignment/>
    </xf>
    <xf numFmtId="43" fontId="3" fillId="8" borderId="24" xfId="129" applyFont="1" applyFill="1" applyBorder="1" applyAlignment="1">
      <alignment/>
    </xf>
    <xf numFmtId="177" fontId="3" fillId="8" borderId="25" xfId="129" applyNumberFormat="1" applyFont="1" applyFill="1" applyBorder="1" applyAlignment="1">
      <alignment/>
    </xf>
    <xf numFmtId="177" fontId="3" fillId="8" borderId="25" xfId="0" applyNumberFormat="1" applyFont="1" applyFill="1" applyBorder="1" applyAlignment="1">
      <alignment/>
    </xf>
    <xf numFmtId="43" fontId="3" fillId="8" borderId="25" xfId="129" applyFont="1" applyFill="1" applyBorder="1" applyAlignment="1">
      <alignment/>
    </xf>
    <xf numFmtId="177" fontId="3" fillId="8" borderId="33" xfId="129" applyNumberFormat="1" applyFont="1" applyFill="1" applyBorder="1" applyAlignment="1">
      <alignment/>
    </xf>
    <xf numFmtId="177" fontId="3" fillId="8" borderId="46" xfId="129" applyNumberFormat="1" applyFont="1" applyFill="1" applyBorder="1" applyAlignment="1">
      <alignment/>
    </xf>
    <xf numFmtId="177" fontId="3" fillId="8" borderId="46" xfId="0" applyNumberFormat="1" applyFont="1" applyFill="1" applyBorder="1" applyAlignment="1">
      <alignment/>
    </xf>
    <xf numFmtId="43" fontId="3" fillId="8" borderId="46" xfId="129" applyFont="1" applyFill="1" applyBorder="1" applyAlignment="1">
      <alignment/>
    </xf>
    <xf numFmtId="177" fontId="3" fillId="8" borderId="41" xfId="129" applyNumberFormat="1" applyFont="1" applyFill="1" applyBorder="1" applyAlignment="1">
      <alignment/>
    </xf>
    <xf numFmtId="177" fontId="3" fillId="8" borderId="41" xfId="0" applyNumberFormat="1" applyFont="1" applyFill="1" applyBorder="1" applyAlignment="1">
      <alignment/>
    </xf>
    <xf numFmtId="43" fontId="3" fillId="8" borderId="41" xfId="129" applyFont="1" applyFill="1" applyBorder="1" applyAlignment="1">
      <alignment/>
    </xf>
    <xf numFmtId="43" fontId="4" fillId="8" borderId="25" xfId="0" applyNumberFormat="1" applyFont="1" applyFill="1" applyBorder="1" applyAlignment="1">
      <alignment/>
    </xf>
    <xf numFmtId="43" fontId="4" fillId="8" borderId="25" xfId="129" applyNumberFormat="1" applyFont="1" applyFill="1" applyBorder="1" applyAlignment="1">
      <alignment/>
    </xf>
    <xf numFmtId="175" fontId="4" fillId="8" borderId="25" xfId="0" applyNumberFormat="1" applyFont="1" applyFill="1" applyBorder="1" applyAlignment="1">
      <alignment/>
    </xf>
    <xf numFmtId="177" fontId="4" fillId="8" borderId="25" xfId="0" applyNumberFormat="1" applyFont="1" applyFill="1" applyBorder="1" applyAlignment="1">
      <alignment/>
    </xf>
    <xf numFmtId="2" fontId="8" fillId="8" borderId="25" xfId="0" applyNumberFormat="1" applyFont="1" applyFill="1" applyBorder="1" applyAlignment="1">
      <alignment/>
    </xf>
    <xf numFmtId="2" fontId="90" fillId="0" borderId="33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/>
      <protection/>
    </xf>
    <xf numFmtId="2" fontId="112" fillId="0" borderId="33" xfId="198" applyNumberFormat="1" applyFont="1" applyFill="1" applyBorder="1" applyAlignment="1">
      <alignment horizontal="center" vertical="center"/>
      <protection/>
    </xf>
    <xf numFmtId="2" fontId="112" fillId="0" borderId="24" xfId="198" applyNumberFormat="1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3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0" fillId="55" borderId="24" xfId="0" applyFont="1" applyFill="1" applyBorder="1" applyAlignment="1">
      <alignment/>
    </xf>
    <xf numFmtId="2" fontId="0" fillId="55" borderId="24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81" fontId="7" fillId="0" borderId="0" xfId="117" applyNumberFormat="1" applyFont="1" applyFill="1" applyAlignment="1">
      <alignment/>
    </xf>
    <xf numFmtId="214" fontId="24" fillId="0" borderId="24" xfId="117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vertical="center"/>
    </xf>
    <xf numFmtId="171" fontId="24" fillId="0" borderId="0" xfId="126" applyFont="1" applyFill="1" applyBorder="1" applyAlignment="1">
      <alignment horizontal="center" vertical="center" wrapText="1"/>
    </xf>
    <xf numFmtId="171" fontId="24" fillId="0" borderId="0" xfId="126" applyNumberFormat="1" applyFont="1" applyFill="1" applyBorder="1" applyAlignment="1">
      <alignment horizontal="center" vertical="center" wrapText="1"/>
    </xf>
    <xf numFmtId="171" fontId="21" fillId="0" borderId="0" xfId="126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9" fillId="0" borderId="43" xfId="199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15" fillId="0" borderId="42" xfId="199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0" fillId="0" borderId="0" xfId="199" applyFont="1" applyBorder="1" applyAlignment="1">
      <alignment horizontal="center"/>
      <protection/>
    </xf>
    <xf numFmtId="0" fontId="14" fillId="0" borderId="0" xfId="199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199" applyFont="1" applyBorder="1" applyAlignment="1">
      <alignment horizontal="center"/>
      <protection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</cellXfs>
  <cellStyles count="2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Sheet1" xfId="199"/>
    <cellStyle name="Normal1" xfId="200"/>
    <cellStyle name="Note" xfId="201"/>
    <cellStyle name="Note 2" xfId="202"/>
    <cellStyle name="Output" xfId="203"/>
    <cellStyle name="Output 2" xfId="204"/>
    <cellStyle name="Percent" xfId="205"/>
    <cellStyle name="Percent [2]" xfId="206"/>
    <cellStyle name="Percent [2] 2" xfId="207"/>
    <cellStyle name="Percent 2" xfId="208"/>
    <cellStyle name="Percent 3" xfId="209"/>
    <cellStyle name="Title" xfId="210"/>
    <cellStyle name="Title 2" xfId="211"/>
    <cellStyle name="Total" xfId="212"/>
    <cellStyle name="Total 2" xfId="213"/>
    <cellStyle name="Total 3" xfId="214"/>
    <cellStyle name="Warning Text" xfId="215"/>
    <cellStyle name="Warning Text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貨幣 [0]_00Q3902REV.1" xfId="235"/>
    <cellStyle name="貨幣[0]_BRE" xfId="236"/>
    <cellStyle name="貨幣_00Q3902REV.1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19050</xdr:rowOff>
    </xdr:from>
    <xdr:to>
      <xdr:col>3</xdr:col>
      <xdr:colOff>133350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00200" y="400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Y9" sqref="Y9"/>
    </sheetView>
  </sheetViews>
  <sheetFormatPr defaultColWidth="9.00390625" defaultRowHeight="15.75"/>
  <cols>
    <col min="1" max="1" width="3.50390625" style="496" customWidth="1"/>
    <col min="2" max="2" width="18.625" style="496" customWidth="1"/>
    <col min="3" max="3" width="8.00390625" style="506" customWidth="1"/>
    <col min="4" max="4" width="5.875" style="506" customWidth="1"/>
    <col min="5" max="5" width="7.125" style="496" customWidth="1"/>
    <col min="6" max="6" width="6.25390625" style="496" customWidth="1"/>
    <col min="7" max="7" width="7.50390625" style="496" customWidth="1"/>
    <col min="8" max="9" width="8.125" style="496" customWidth="1"/>
    <col min="10" max="10" width="7.125" style="496" customWidth="1"/>
    <col min="11" max="11" width="6.125" style="496" customWidth="1"/>
    <col min="12" max="13" width="7.375" style="496" customWidth="1"/>
    <col min="14" max="14" width="7.125" style="496" customWidth="1"/>
    <col min="15" max="15" width="6.875" style="496" customWidth="1"/>
    <col min="16" max="16" width="7.125" style="496" customWidth="1"/>
    <col min="17" max="17" width="7.875" style="496" customWidth="1"/>
    <col min="18" max="20" width="7.125" style="496" hidden="1" customWidth="1"/>
    <col min="21" max="21" width="8.25390625" style="496" hidden="1" customWidth="1"/>
    <col min="22" max="22" width="9.50390625" style="496" customWidth="1"/>
    <col min="23" max="24" width="0" style="496" hidden="1" customWidth="1"/>
    <col min="25" max="16384" width="9.00390625" style="496" customWidth="1"/>
  </cols>
  <sheetData>
    <row r="1" spans="2:6" ht="15">
      <c r="B1" s="648" t="s">
        <v>464</v>
      </c>
      <c r="C1" s="648"/>
      <c r="D1" s="648"/>
      <c r="E1" s="648"/>
      <c r="F1" s="648"/>
    </row>
    <row r="2" spans="2:6" ht="15">
      <c r="B2" s="648" t="s">
        <v>451</v>
      </c>
      <c r="C2" s="648"/>
      <c r="D2" s="648"/>
      <c r="E2" s="648"/>
      <c r="F2" s="648"/>
    </row>
    <row r="3" spans="1:22" s="476" customFormat="1" ht="42" customHeight="1">
      <c r="A3" s="656" t="s">
        <v>466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</row>
    <row r="4" spans="1:22" s="477" customFormat="1" ht="31.5" customHeight="1">
      <c r="A4" s="651" t="s">
        <v>5</v>
      </c>
      <c r="B4" s="652" t="s">
        <v>413</v>
      </c>
      <c r="C4" s="651" t="s">
        <v>103</v>
      </c>
      <c r="D4" s="651"/>
      <c r="E4" s="651"/>
      <c r="F4" s="651"/>
      <c r="G4" s="651"/>
      <c r="H4" s="651"/>
      <c r="I4" s="651"/>
      <c r="J4" s="652" t="s">
        <v>465</v>
      </c>
      <c r="K4" s="652"/>
      <c r="L4" s="652"/>
      <c r="M4" s="652"/>
      <c r="N4" s="652"/>
      <c r="O4" s="652"/>
      <c r="P4" s="652"/>
      <c r="Q4" s="649" t="s">
        <v>454</v>
      </c>
      <c r="R4" s="664" t="s">
        <v>458</v>
      </c>
      <c r="S4" s="665"/>
      <c r="T4" s="666"/>
      <c r="U4" s="646" t="s">
        <v>459</v>
      </c>
      <c r="V4" s="646" t="s">
        <v>463</v>
      </c>
    </row>
    <row r="5" spans="1:22" s="477" customFormat="1" ht="15.75" customHeight="1">
      <c r="A5" s="651"/>
      <c r="B5" s="652"/>
      <c r="C5" s="646" t="s">
        <v>414</v>
      </c>
      <c r="D5" s="661" t="s">
        <v>10</v>
      </c>
      <c r="E5" s="662"/>
      <c r="F5" s="662"/>
      <c r="G5" s="662"/>
      <c r="H5" s="663"/>
      <c r="I5" s="649" t="s">
        <v>415</v>
      </c>
      <c r="J5" s="646" t="s">
        <v>455</v>
      </c>
      <c r="K5" s="653" t="s">
        <v>10</v>
      </c>
      <c r="L5" s="654"/>
      <c r="M5" s="654"/>
      <c r="N5" s="654"/>
      <c r="O5" s="655"/>
      <c r="P5" s="649" t="s">
        <v>456</v>
      </c>
      <c r="Q5" s="660"/>
      <c r="R5" s="646" t="s">
        <v>414</v>
      </c>
      <c r="S5" s="653" t="s">
        <v>10</v>
      </c>
      <c r="T5" s="655"/>
      <c r="U5" s="667"/>
      <c r="V5" s="658"/>
    </row>
    <row r="6" spans="1:22" s="480" customFormat="1" ht="81" customHeight="1">
      <c r="A6" s="651"/>
      <c r="B6" s="652"/>
      <c r="C6" s="647"/>
      <c r="D6" s="479" t="s">
        <v>12</v>
      </c>
      <c r="E6" s="479" t="s">
        <v>416</v>
      </c>
      <c r="F6" s="479" t="s">
        <v>417</v>
      </c>
      <c r="G6" s="479" t="s">
        <v>418</v>
      </c>
      <c r="H6" s="479" t="s">
        <v>272</v>
      </c>
      <c r="I6" s="650"/>
      <c r="J6" s="647"/>
      <c r="K6" s="478" t="s">
        <v>12</v>
      </c>
      <c r="L6" s="478" t="s">
        <v>269</v>
      </c>
      <c r="M6" s="478" t="s">
        <v>14</v>
      </c>
      <c r="N6" s="478" t="s">
        <v>452</v>
      </c>
      <c r="O6" s="478" t="s">
        <v>453</v>
      </c>
      <c r="P6" s="650"/>
      <c r="Q6" s="650"/>
      <c r="R6" s="647"/>
      <c r="S6" s="479" t="s">
        <v>460</v>
      </c>
      <c r="T6" s="479" t="s">
        <v>461</v>
      </c>
      <c r="U6" s="647"/>
      <c r="V6" s="659"/>
    </row>
    <row r="7" spans="1:22" s="476" customFormat="1" ht="21.75" customHeight="1">
      <c r="A7" s="481" t="s">
        <v>419</v>
      </c>
      <c r="B7" s="513" t="s">
        <v>420</v>
      </c>
      <c r="C7" s="482">
        <f aca="true" t="shared" si="0" ref="C7:O7">+SUM(C8:C17)</f>
        <v>784.587</v>
      </c>
      <c r="D7" s="482">
        <f t="shared" si="0"/>
        <v>10.612</v>
      </c>
      <c r="E7" s="482">
        <f t="shared" si="0"/>
        <v>184.47599999999997</v>
      </c>
      <c r="F7" s="482">
        <f t="shared" si="0"/>
        <v>382.64700000000005</v>
      </c>
      <c r="G7" s="482">
        <f t="shared" si="0"/>
        <v>198.52200000000002</v>
      </c>
      <c r="H7" s="482">
        <f t="shared" si="0"/>
        <v>8.33</v>
      </c>
      <c r="I7" s="483">
        <f t="shared" si="0"/>
        <v>100775.78864</v>
      </c>
      <c r="J7" s="515">
        <f t="shared" si="0"/>
        <v>151.31300000000002</v>
      </c>
      <c r="K7" s="515">
        <f t="shared" si="0"/>
        <v>1.798</v>
      </c>
      <c r="L7" s="515">
        <f t="shared" si="0"/>
        <v>20.17</v>
      </c>
      <c r="M7" s="515">
        <f t="shared" si="0"/>
        <v>103.81</v>
      </c>
      <c r="N7" s="515">
        <f t="shared" si="0"/>
        <v>24.555</v>
      </c>
      <c r="O7" s="515">
        <f t="shared" si="0"/>
        <v>0.98</v>
      </c>
      <c r="P7" s="519">
        <f>+SUM(P8:P17)</f>
        <v>21961.5</v>
      </c>
      <c r="Q7" s="532"/>
      <c r="R7" s="554"/>
      <c r="S7" s="554"/>
      <c r="T7" s="554"/>
      <c r="U7" s="554"/>
      <c r="V7" s="519"/>
    </row>
    <row r="8" spans="1:26" s="476" customFormat="1" ht="15.75" customHeight="1">
      <c r="A8" s="484">
        <v>1</v>
      </c>
      <c r="B8" s="485" t="s">
        <v>194</v>
      </c>
      <c r="C8" s="486">
        <v>96.393</v>
      </c>
      <c r="D8" s="487">
        <v>2.251</v>
      </c>
      <c r="E8" s="487">
        <v>25.193</v>
      </c>
      <c r="F8" s="487">
        <v>64.018</v>
      </c>
      <c r="G8" s="487">
        <v>4.931</v>
      </c>
      <c r="H8" s="487">
        <v>0</v>
      </c>
      <c r="I8" s="488">
        <v>12500.581170000001</v>
      </c>
      <c r="J8" s="516">
        <f>SUM(K8:O8)</f>
        <v>12.87</v>
      </c>
      <c r="K8" s="516">
        <f>KA!R34</f>
        <v>0.453</v>
      </c>
      <c r="L8" s="516">
        <f>KA!S34</f>
        <v>2.717</v>
      </c>
      <c r="M8" s="516">
        <v>9.7</v>
      </c>
      <c r="N8" s="516">
        <f>KA!U34</f>
        <v>0</v>
      </c>
      <c r="O8" s="516">
        <v>0</v>
      </c>
      <c r="P8" s="520">
        <v>1752</v>
      </c>
      <c r="Q8" s="533">
        <f aca="true" t="shared" si="1" ref="Q8:Q17">+J8/C8</f>
        <v>0.13351591920575145</v>
      </c>
      <c r="R8" s="555">
        <f aca="true" t="shared" si="2" ref="R8:R17">SUM(S8:T8)</f>
        <v>1.5</v>
      </c>
      <c r="S8" s="555"/>
      <c r="T8" s="555">
        <v>1.5</v>
      </c>
      <c r="U8" s="555">
        <f aca="true" t="shared" si="3" ref="U8:U17">+R8+J8</f>
        <v>14.37</v>
      </c>
      <c r="V8" s="516">
        <v>0.6999999999999993</v>
      </c>
      <c r="W8" s="558">
        <f>+K8*194.67+L8*173.04+(M8+N8)*111.72+O8*127.68</f>
        <v>1642.01919</v>
      </c>
      <c r="Y8" s="643"/>
      <c r="Z8" s="622"/>
    </row>
    <row r="9" spans="1:26" s="476" customFormat="1" ht="15.75" customHeight="1">
      <c r="A9" s="484">
        <v>2</v>
      </c>
      <c r="B9" s="485" t="s">
        <v>421</v>
      </c>
      <c r="C9" s="486">
        <v>164.9</v>
      </c>
      <c r="D9" s="487">
        <v>5</v>
      </c>
      <c r="E9" s="487">
        <v>30.299999999999997</v>
      </c>
      <c r="F9" s="487">
        <v>75</v>
      </c>
      <c r="G9" s="487">
        <v>51.6</v>
      </c>
      <c r="H9" s="487">
        <v>3</v>
      </c>
      <c r="I9" s="488">
        <v>20743.254</v>
      </c>
      <c r="J9" s="516">
        <f>SUM(K9:O9)</f>
        <v>15.41</v>
      </c>
      <c r="K9" s="516">
        <v>0.8</v>
      </c>
      <c r="L9" s="516">
        <v>2.95</v>
      </c>
      <c r="M9" s="516">
        <v>10.88</v>
      </c>
      <c r="N9" s="516">
        <v>0.78</v>
      </c>
      <c r="O9" s="516">
        <v>0</v>
      </c>
      <c r="P9" s="520">
        <v>2478.4</v>
      </c>
      <c r="Q9" s="533">
        <f t="shared" si="1"/>
        <v>0.09345057610673135</v>
      </c>
      <c r="R9" s="555">
        <f t="shared" si="2"/>
        <v>0</v>
      </c>
      <c r="S9" s="555"/>
      <c r="T9" s="555"/>
      <c r="U9" s="555">
        <f t="shared" si="3"/>
        <v>15.41</v>
      </c>
      <c r="V9" s="516">
        <v>0</v>
      </c>
      <c r="W9" s="558">
        <f aca="true" t="shared" si="4" ref="W9:W20">+K9*194.67+L9*173.04+(M9+N9)*111.72+O9*127.68</f>
        <v>1968.8591999999999</v>
      </c>
      <c r="Y9" s="643"/>
      <c r="Z9" s="622"/>
    </row>
    <row r="10" spans="1:26" s="476" customFormat="1" ht="15.75" customHeight="1">
      <c r="A10" s="484">
        <v>3</v>
      </c>
      <c r="B10" s="485" t="s">
        <v>422</v>
      </c>
      <c r="C10" s="486">
        <f>+SUM(D10:H10)</f>
        <v>31.050000000000004</v>
      </c>
      <c r="D10" s="487"/>
      <c r="E10" s="487">
        <v>13.79</v>
      </c>
      <c r="F10" s="487">
        <v>2.67</v>
      </c>
      <c r="G10" s="487">
        <f>13.99</f>
        <v>13.99</v>
      </c>
      <c r="H10" s="487">
        <v>0.6</v>
      </c>
      <c r="I10" s="488">
        <f>+D10*194.67+E10*173.04+(F10+G10+H10)*111.72</f>
        <v>4314.5088</v>
      </c>
      <c r="J10" s="516">
        <f>SUM(K10:O10)</f>
        <v>7.72</v>
      </c>
      <c r="K10" s="516">
        <f>+TPHT!K12</f>
        <v>0</v>
      </c>
      <c r="L10" s="516">
        <v>0.6</v>
      </c>
      <c r="M10" s="516">
        <v>0.53</v>
      </c>
      <c r="N10" s="516">
        <v>6.59</v>
      </c>
      <c r="O10" s="516">
        <f>+TPHT!O12</f>
        <v>0</v>
      </c>
      <c r="P10" s="520">
        <v>1043</v>
      </c>
      <c r="Q10" s="533">
        <f t="shared" si="1"/>
        <v>0.24863123993558772</v>
      </c>
      <c r="R10" s="555">
        <f t="shared" si="2"/>
        <v>2</v>
      </c>
      <c r="S10" s="555"/>
      <c r="T10" s="555">
        <v>2</v>
      </c>
      <c r="U10" s="555">
        <f t="shared" si="3"/>
        <v>9.719999999999999</v>
      </c>
      <c r="V10" s="516">
        <v>1.62</v>
      </c>
      <c r="W10" s="558">
        <f t="shared" si="4"/>
        <v>899.2704</v>
      </c>
      <c r="X10" s="476">
        <f>+P10/111.72</f>
        <v>9.335839598997493</v>
      </c>
      <c r="Y10" s="643"/>
      <c r="Z10" s="622"/>
    </row>
    <row r="11" spans="1:26" s="476" customFormat="1" ht="15.75" customHeight="1">
      <c r="A11" s="484">
        <v>4</v>
      </c>
      <c r="B11" s="485" t="s">
        <v>423</v>
      </c>
      <c r="C11" s="486">
        <v>80</v>
      </c>
      <c r="D11" s="487"/>
      <c r="E11" s="487">
        <v>19.299999999999997</v>
      </c>
      <c r="F11" s="487">
        <v>45.19999999999999</v>
      </c>
      <c r="G11" s="487">
        <v>15.499999999999998</v>
      </c>
      <c r="H11" s="487">
        <v>0</v>
      </c>
      <c r="I11" s="488">
        <v>10137.3</v>
      </c>
      <c r="J11" s="516">
        <f aca="true" t="shared" si="5" ref="J11:J20">SUM(K11:O11)</f>
        <v>29.135</v>
      </c>
      <c r="K11" s="516">
        <v>0</v>
      </c>
      <c r="L11" s="516">
        <v>3.02</v>
      </c>
      <c r="M11" s="516">
        <v>23.1</v>
      </c>
      <c r="N11" s="516">
        <v>3.015</v>
      </c>
      <c r="O11" s="516">
        <v>0</v>
      </c>
      <c r="P11" s="520">
        <v>4000</v>
      </c>
      <c r="Q11" s="533">
        <f t="shared" si="1"/>
        <v>0.3641875</v>
      </c>
      <c r="R11" s="555">
        <f t="shared" si="2"/>
        <v>14.67</v>
      </c>
      <c r="S11" s="555"/>
      <c r="T11" s="555">
        <v>14.67</v>
      </c>
      <c r="U11" s="555">
        <f t="shared" si="3"/>
        <v>43.805</v>
      </c>
      <c r="V11" s="516">
        <v>2.1200000000000045</v>
      </c>
      <c r="W11" s="558">
        <f t="shared" si="4"/>
        <v>3440.1486000000004</v>
      </c>
      <c r="Y11" s="643"/>
      <c r="Z11" s="622"/>
    </row>
    <row r="12" spans="1:26" s="476" customFormat="1" ht="15.75" customHeight="1">
      <c r="A12" s="484">
        <v>5</v>
      </c>
      <c r="B12" s="485" t="s">
        <v>424</v>
      </c>
      <c r="C12" s="486">
        <v>93.63000000000001</v>
      </c>
      <c r="D12" s="487"/>
      <c r="E12" s="487">
        <v>15.700000000000001</v>
      </c>
      <c r="F12" s="487">
        <v>40.830000000000005</v>
      </c>
      <c r="G12" s="487">
        <v>37.1</v>
      </c>
      <c r="H12" s="487"/>
      <c r="I12" s="488">
        <v>12046.0116</v>
      </c>
      <c r="J12" s="516">
        <f t="shared" si="5"/>
        <v>22.195999999999998</v>
      </c>
      <c r="K12" s="516">
        <f>+'CL'!K33</f>
        <v>0</v>
      </c>
      <c r="L12" s="516">
        <f>+'CL'!L33</f>
        <v>2.5260000000000002</v>
      </c>
      <c r="M12" s="516">
        <v>14.89</v>
      </c>
      <c r="N12" s="516">
        <v>4.06</v>
      </c>
      <c r="O12" s="516">
        <f>+'CL'!O33</f>
        <v>0.72</v>
      </c>
      <c r="P12" s="520">
        <v>3044</v>
      </c>
      <c r="Q12" s="533">
        <f t="shared" si="1"/>
        <v>0.23706077112036736</v>
      </c>
      <c r="R12" s="555">
        <f t="shared" si="2"/>
        <v>6.1</v>
      </c>
      <c r="S12" s="555"/>
      <c r="T12" s="555">
        <v>6.1</v>
      </c>
      <c r="U12" s="555">
        <f t="shared" si="3"/>
        <v>28.296</v>
      </c>
      <c r="V12" s="516">
        <v>1.0839999999999996</v>
      </c>
      <c r="W12" s="558">
        <f t="shared" si="4"/>
        <v>2646.12264</v>
      </c>
      <c r="Y12" s="643"/>
      <c r="Z12" s="622"/>
    </row>
    <row r="13" spans="1:26" s="476" customFormat="1" ht="15.75" customHeight="1">
      <c r="A13" s="484">
        <v>6</v>
      </c>
      <c r="B13" s="485" t="s">
        <v>425</v>
      </c>
      <c r="C13" s="486">
        <f>+SUM(D13:H13)</f>
        <v>1.5</v>
      </c>
      <c r="D13" s="487">
        <v>0</v>
      </c>
      <c r="E13" s="487">
        <v>0</v>
      </c>
      <c r="F13" s="487">
        <v>0.3</v>
      </c>
      <c r="G13" s="487">
        <v>0</v>
      </c>
      <c r="H13" s="487">
        <v>1.2</v>
      </c>
      <c r="I13" s="488">
        <f>+D13*194.67+E13*173.04+(F13+G13+H13)*111.72</f>
        <v>167.57999999999998</v>
      </c>
      <c r="J13" s="516">
        <f t="shared" si="5"/>
        <v>0</v>
      </c>
      <c r="K13" s="516">
        <v>0</v>
      </c>
      <c r="L13" s="516">
        <v>0</v>
      </c>
      <c r="M13" s="516">
        <v>0</v>
      </c>
      <c r="N13" s="516">
        <v>0</v>
      </c>
      <c r="O13" s="516">
        <v>0</v>
      </c>
      <c r="P13" s="520">
        <v>0</v>
      </c>
      <c r="Q13" s="642">
        <f t="shared" si="1"/>
        <v>0</v>
      </c>
      <c r="R13" s="555">
        <f t="shared" si="2"/>
        <v>0</v>
      </c>
      <c r="S13" s="555"/>
      <c r="T13" s="555"/>
      <c r="U13" s="555">
        <f t="shared" si="3"/>
        <v>0</v>
      </c>
      <c r="V13" s="516">
        <v>0</v>
      </c>
      <c r="W13" s="558">
        <f t="shared" si="4"/>
        <v>0</v>
      </c>
      <c r="Y13" s="643"/>
      <c r="Z13" s="622"/>
    </row>
    <row r="14" spans="1:26" s="476" customFormat="1" ht="15.75" customHeight="1">
      <c r="A14" s="484">
        <v>7</v>
      </c>
      <c r="B14" s="485" t="s">
        <v>426</v>
      </c>
      <c r="C14" s="486">
        <v>115.859</v>
      </c>
      <c r="D14" s="487">
        <v>0</v>
      </c>
      <c r="E14" s="487">
        <v>40.617</v>
      </c>
      <c r="F14" s="487">
        <v>49.38200000000001</v>
      </c>
      <c r="G14" s="487">
        <v>23.6</v>
      </c>
      <c r="H14" s="487">
        <v>2.26</v>
      </c>
      <c r="I14" s="488">
        <v>15470</v>
      </c>
      <c r="J14" s="555">
        <f t="shared" si="5"/>
        <v>11.81</v>
      </c>
      <c r="K14" s="634">
        <f>+NX!X24</f>
        <v>0</v>
      </c>
      <c r="L14" s="555">
        <v>1.74</v>
      </c>
      <c r="M14" s="555">
        <v>8.47</v>
      </c>
      <c r="N14" s="555">
        <v>1.34</v>
      </c>
      <c r="O14" s="555">
        <v>0.26</v>
      </c>
      <c r="P14" s="520">
        <v>1837.6</v>
      </c>
      <c r="Q14" s="533">
        <f t="shared" si="1"/>
        <v>0.10193424766310775</v>
      </c>
      <c r="R14" s="555">
        <f t="shared" si="2"/>
        <v>0</v>
      </c>
      <c r="S14" s="555"/>
      <c r="T14" s="555"/>
      <c r="U14" s="555">
        <f t="shared" si="3"/>
        <v>11.81</v>
      </c>
      <c r="V14" s="516">
        <v>3.16</v>
      </c>
      <c r="W14" s="558">
        <f t="shared" si="4"/>
        <v>1430.2596</v>
      </c>
      <c r="Y14" s="644"/>
      <c r="Z14" s="622"/>
    </row>
    <row r="15" spans="1:26" s="476" customFormat="1" ht="15.75" customHeight="1">
      <c r="A15" s="484">
        <v>8</v>
      </c>
      <c r="B15" s="485" t="s">
        <v>427</v>
      </c>
      <c r="C15" s="486">
        <v>30</v>
      </c>
      <c r="D15" s="487"/>
      <c r="E15" s="487">
        <v>6</v>
      </c>
      <c r="F15" s="487">
        <v>9</v>
      </c>
      <c r="G15" s="487">
        <v>15</v>
      </c>
      <c r="H15" s="487"/>
      <c r="I15" s="488">
        <v>3905.9999999999995</v>
      </c>
      <c r="J15" s="516">
        <f t="shared" si="5"/>
        <v>8.16</v>
      </c>
      <c r="K15" s="516">
        <v>0</v>
      </c>
      <c r="L15" s="516">
        <v>0.9</v>
      </c>
      <c r="M15" s="516">
        <v>4.16</v>
      </c>
      <c r="N15" s="516">
        <f>+'DT'!AC34</f>
        <v>3.1</v>
      </c>
      <c r="O15" s="516">
        <v>0</v>
      </c>
      <c r="P15" s="520">
        <v>1020.5</v>
      </c>
      <c r="Q15" s="533">
        <f t="shared" si="1"/>
        <v>0.272</v>
      </c>
      <c r="R15" s="555">
        <f t="shared" si="2"/>
        <v>10.3</v>
      </c>
      <c r="S15" s="555">
        <v>0.5</v>
      </c>
      <c r="T15" s="555">
        <v>9.8</v>
      </c>
      <c r="U15" s="555">
        <f t="shared" si="3"/>
        <v>18.46</v>
      </c>
      <c r="V15" s="516">
        <v>0.5</v>
      </c>
      <c r="W15" s="558">
        <f t="shared" si="4"/>
        <v>966.8231999999999</v>
      </c>
      <c r="Y15" s="643"/>
      <c r="Z15" s="622"/>
    </row>
    <row r="16" spans="1:26" s="476" customFormat="1" ht="15.75" customHeight="1">
      <c r="A16" s="484">
        <v>9</v>
      </c>
      <c r="B16" s="485" t="s">
        <v>428</v>
      </c>
      <c r="C16" s="486">
        <v>101.59500000000001</v>
      </c>
      <c r="D16" s="487">
        <v>3.09</v>
      </c>
      <c r="E16" s="487">
        <v>18.143</v>
      </c>
      <c r="F16" s="487">
        <v>64.24400000000001</v>
      </c>
      <c r="G16" s="487">
        <v>14.848</v>
      </c>
      <c r="H16" s="487">
        <v>1.27</v>
      </c>
      <c r="I16" s="488">
        <v>12739.306860000002</v>
      </c>
      <c r="J16" s="516">
        <f>SUM(K16:O16)</f>
        <v>26.017</v>
      </c>
      <c r="K16" s="516">
        <v>0.45</v>
      </c>
      <c r="L16" s="516">
        <f>'HS'!L36</f>
        <v>2.117</v>
      </c>
      <c r="M16" s="516">
        <v>22.18</v>
      </c>
      <c r="N16" s="516">
        <f>'HS'!N36</f>
        <v>1.27</v>
      </c>
      <c r="O16" s="516">
        <f>+'HS'!O36</f>
        <v>0</v>
      </c>
      <c r="P16" s="520">
        <v>3829</v>
      </c>
      <c r="Q16" s="533">
        <f t="shared" si="1"/>
        <v>0.2560854372754564</v>
      </c>
      <c r="R16" s="555">
        <f t="shared" si="2"/>
        <v>5.1000000000000005</v>
      </c>
      <c r="S16" s="555">
        <v>0.7</v>
      </c>
      <c r="T16" s="555">
        <v>4.4</v>
      </c>
      <c r="U16" s="555">
        <f t="shared" si="3"/>
        <v>31.117</v>
      </c>
      <c r="V16" s="516">
        <v>0.7300000000000004</v>
      </c>
      <c r="W16" s="558">
        <f t="shared" si="4"/>
        <v>3073.76118</v>
      </c>
      <c r="Y16" s="643"/>
      <c r="Z16" s="622"/>
    </row>
    <row r="17" spans="1:26" s="476" customFormat="1" ht="15.75" customHeight="1">
      <c r="A17" s="484">
        <v>10</v>
      </c>
      <c r="B17" s="485" t="s">
        <v>429</v>
      </c>
      <c r="C17" s="486">
        <v>69.66</v>
      </c>
      <c r="D17" s="487">
        <v>0.271</v>
      </c>
      <c r="E17" s="487">
        <v>15.433000000000002</v>
      </c>
      <c r="F17" s="487">
        <v>32.003</v>
      </c>
      <c r="G17" s="487">
        <v>21.953</v>
      </c>
      <c r="H17" s="487"/>
      <c r="I17" s="488">
        <v>8751.246210000001</v>
      </c>
      <c r="J17" s="516">
        <f>SUM(K17:O17)</f>
        <v>17.995</v>
      </c>
      <c r="K17" s="516">
        <f>LH!K23</f>
        <v>0.095</v>
      </c>
      <c r="L17" s="516">
        <v>3.6</v>
      </c>
      <c r="M17" s="516">
        <v>9.9</v>
      </c>
      <c r="N17" s="516">
        <f>LH!N23</f>
        <v>4.4</v>
      </c>
      <c r="O17" s="516"/>
      <c r="P17" s="520">
        <v>2957</v>
      </c>
      <c r="Q17" s="533">
        <f t="shared" si="1"/>
        <v>0.25832615561297734</v>
      </c>
      <c r="R17" s="555">
        <f t="shared" si="2"/>
        <v>0</v>
      </c>
      <c r="S17" s="555"/>
      <c r="T17" s="555"/>
      <c r="U17" s="555">
        <f t="shared" si="3"/>
        <v>17.995</v>
      </c>
      <c r="V17" s="516">
        <v>0.6000000000000014</v>
      </c>
      <c r="W17" s="558">
        <f t="shared" si="4"/>
        <v>2239.03365</v>
      </c>
      <c r="Y17" s="643"/>
      <c r="Z17" s="622"/>
    </row>
    <row r="18" spans="1:26" s="476" customFormat="1" ht="20.25" customHeight="1">
      <c r="A18" s="489" t="s">
        <v>430</v>
      </c>
      <c r="B18" s="514" t="s">
        <v>431</v>
      </c>
      <c r="C18" s="490">
        <f aca="true" t="shared" si="6" ref="C18:P18">+SUM(C19:C20)</f>
        <v>163.46699999999998</v>
      </c>
      <c r="D18" s="490">
        <f t="shared" si="6"/>
        <v>1</v>
      </c>
      <c r="E18" s="490">
        <f t="shared" si="6"/>
        <v>33.177</v>
      </c>
      <c r="F18" s="490">
        <f t="shared" si="6"/>
        <v>103.704</v>
      </c>
      <c r="G18" s="490">
        <f t="shared" si="6"/>
        <v>22.185999999999996</v>
      </c>
      <c r="H18" s="490">
        <f t="shared" si="6"/>
        <v>3.4</v>
      </c>
      <c r="I18" s="491">
        <f t="shared" si="6"/>
        <v>20434.1636</v>
      </c>
      <c r="J18" s="517">
        <f>+J19+J20</f>
        <v>87.82</v>
      </c>
      <c r="K18" s="517">
        <f t="shared" si="6"/>
        <v>0</v>
      </c>
      <c r="L18" s="517">
        <f t="shared" si="6"/>
        <v>20.330000000000002</v>
      </c>
      <c r="M18" s="517">
        <f t="shared" si="6"/>
        <v>54.870000000000005</v>
      </c>
      <c r="N18" s="517">
        <f t="shared" si="6"/>
        <v>12.12</v>
      </c>
      <c r="O18" s="517">
        <f t="shared" si="6"/>
        <v>0.5</v>
      </c>
      <c r="P18" s="521">
        <f t="shared" si="6"/>
        <v>11614</v>
      </c>
      <c r="Q18" s="485"/>
      <c r="R18" s="556"/>
      <c r="S18" s="556"/>
      <c r="T18" s="556"/>
      <c r="U18" s="555"/>
      <c r="V18" s="517"/>
      <c r="Y18" s="645"/>
      <c r="Z18" s="622"/>
    </row>
    <row r="19" spans="1:26" s="476" customFormat="1" ht="15.75" customHeight="1">
      <c r="A19" s="484">
        <v>11</v>
      </c>
      <c r="B19" s="485" t="s">
        <v>432</v>
      </c>
      <c r="C19" s="486">
        <v>115.46699999999998</v>
      </c>
      <c r="D19" s="487">
        <v>1</v>
      </c>
      <c r="E19" s="487">
        <v>19.573</v>
      </c>
      <c r="F19" s="487">
        <v>83.484</v>
      </c>
      <c r="G19" s="487">
        <v>9.009999999999998</v>
      </c>
      <c r="H19" s="487">
        <v>2.4</v>
      </c>
      <c r="I19" s="488">
        <v>14221.443600000002</v>
      </c>
      <c r="J19" s="516">
        <f t="shared" si="5"/>
        <v>60.730000000000004</v>
      </c>
      <c r="K19" s="516">
        <f>+'HK'!L27</f>
        <v>0</v>
      </c>
      <c r="L19" s="516">
        <v>12.63</v>
      </c>
      <c r="M19" s="516">
        <v>45.1</v>
      </c>
      <c r="N19" s="516">
        <v>3</v>
      </c>
      <c r="O19" s="516">
        <f>'HK'!P27</f>
        <v>0</v>
      </c>
      <c r="P19" s="520">
        <v>7997</v>
      </c>
      <c r="Q19" s="533">
        <f>+J19/C19</f>
        <v>0.5259511375544529</v>
      </c>
      <c r="R19" s="555">
        <f>SUM(S19:T19)</f>
        <v>0.25</v>
      </c>
      <c r="S19" s="555">
        <v>0.25</v>
      </c>
      <c r="T19" s="555"/>
      <c r="U19" s="555">
        <f>+R19+J19</f>
        <v>60.980000000000004</v>
      </c>
      <c r="V19" s="516">
        <v>4.280000000000001</v>
      </c>
      <c r="W19" s="558">
        <f t="shared" si="4"/>
        <v>7559.227199999999</v>
      </c>
      <c r="Y19" s="643"/>
      <c r="Z19" s="622"/>
    </row>
    <row r="20" spans="1:26" s="476" customFormat="1" ht="15.75" customHeight="1">
      <c r="A20" s="635">
        <v>12</v>
      </c>
      <c r="B20" s="636" t="s">
        <v>433</v>
      </c>
      <c r="C20" s="637">
        <v>48</v>
      </c>
      <c r="D20" s="638"/>
      <c r="E20" s="638">
        <v>13.604000000000001</v>
      </c>
      <c r="F20" s="638">
        <v>20.22</v>
      </c>
      <c r="G20" s="638">
        <v>13.175999999999998</v>
      </c>
      <c r="H20" s="638">
        <v>1</v>
      </c>
      <c r="I20" s="639">
        <v>6212.719999999999</v>
      </c>
      <c r="J20" s="516">
        <f t="shared" si="5"/>
        <v>27.089999999999996</v>
      </c>
      <c r="K20" s="516"/>
      <c r="L20" s="516">
        <v>7.7</v>
      </c>
      <c r="M20" s="516">
        <v>9.77</v>
      </c>
      <c r="N20" s="516">
        <v>9.12</v>
      </c>
      <c r="O20" s="516">
        <f>+VQ!N17</f>
        <v>0.5</v>
      </c>
      <c r="P20" s="520">
        <v>3617</v>
      </c>
      <c r="Q20" s="640">
        <f>+J20/C20</f>
        <v>0.564375</v>
      </c>
      <c r="R20" s="555">
        <f>SUM(S20:T20)</f>
        <v>0</v>
      </c>
      <c r="S20" s="555"/>
      <c r="T20" s="555"/>
      <c r="U20" s="555">
        <f>+R20+J20</f>
        <v>27.089999999999996</v>
      </c>
      <c r="V20" s="516">
        <v>7.739999999999995</v>
      </c>
      <c r="W20" s="641">
        <f t="shared" si="4"/>
        <v>3506.6388</v>
      </c>
      <c r="Y20" s="643"/>
      <c r="Z20" s="622"/>
    </row>
    <row r="21" spans="1:23" s="476" customFormat="1" ht="27" customHeight="1">
      <c r="A21" s="492"/>
      <c r="B21" s="493" t="s">
        <v>38</v>
      </c>
      <c r="C21" s="494">
        <f aca="true" t="shared" si="7" ref="C21:P21">C18+C7</f>
        <v>948.054</v>
      </c>
      <c r="D21" s="494">
        <f t="shared" si="7"/>
        <v>11.612</v>
      </c>
      <c r="E21" s="494">
        <f t="shared" si="7"/>
        <v>217.65299999999996</v>
      </c>
      <c r="F21" s="494">
        <f t="shared" si="7"/>
        <v>486.35100000000006</v>
      </c>
      <c r="G21" s="494">
        <f t="shared" si="7"/>
        <v>220.70800000000003</v>
      </c>
      <c r="H21" s="494">
        <f t="shared" si="7"/>
        <v>11.73</v>
      </c>
      <c r="I21" s="495">
        <f t="shared" si="7"/>
        <v>121209.95224</v>
      </c>
      <c r="J21" s="518">
        <f t="shared" si="7"/>
        <v>239.133</v>
      </c>
      <c r="K21" s="518">
        <f t="shared" si="7"/>
        <v>1.798</v>
      </c>
      <c r="L21" s="518">
        <f t="shared" si="7"/>
        <v>40.5</v>
      </c>
      <c r="M21" s="518">
        <f t="shared" si="7"/>
        <v>158.68</v>
      </c>
      <c r="N21" s="518">
        <f t="shared" si="7"/>
        <v>36.675</v>
      </c>
      <c r="O21" s="518">
        <f t="shared" si="7"/>
        <v>1.48</v>
      </c>
      <c r="P21" s="522">
        <f t="shared" si="7"/>
        <v>33575.5</v>
      </c>
      <c r="Q21" s="534">
        <f>+J21/C21</f>
        <v>0.2522356321475359</v>
      </c>
      <c r="R21" s="557">
        <f>+SUM(R8:R20)</f>
        <v>39.92000000000001</v>
      </c>
      <c r="S21" s="557">
        <f>+SUM(S8:S20)</f>
        <v>1.45</v>
      </c>
      <c r="T21" s="557">
        <f>+SUM(T8:T20)</f>
        <v>38.470000000000006</v>
      </c>
      <c r="U21" s="557">
        <f>+SUM(U8:U20)</f>
        <v>279.053</v>
      </c>
      <c r="V21" s="518">
        <f>SUM(V8:V20)</f>
        <v>22.534000000000002</v>
      </c>
      <c r="W21" s="559">
        <f>+SUM(W8:W20)</f>
        <v>29372.16366</v>
      </c>
    </row>
    <row r="22" spans="2:16" ht="15" hidden="1">
      <c r="B22" s="497"/>
      <c r="C22" s="498"/>
      <c r="D22" s="498"/>
      <c r="E22" s="498"/>
      <c r="F22" s="498"/>
      <c r="G22" s="498"/>
      <c r="H22" s="498"/>
      <c r="I22" s="498"/>
      <c r="J22" s="499"/>
      <c r="K22" s="498"/>
      <c r="L22" s="498"/>
      <c r="M22" s="498"/>
      <c r="N22" s="498"/>
      <c r="O22" s="498"/>
      <c r="P22" s="500"/>
    </row>
    <row r="23" spans="2:16" ht="15" hidden="1">
      <c r="B23" s="497"/>
      <c r="C23" s="498"/>
      <c r="D23" s="498"/>
      <c r="E23" s="498"/>
      <c r="F23" s="501"/>
      <c r="G23" s="502"/>
      <c r="H23" s="502"/>
      <c r="I23" s="502"/>
      <c r="J23" s="503">
        <f>+J21/I21</f>
        <v>0.0019728825527998576</v>
      </c>
      <c r="K23" s="502"/>
      <c r="L23" s="502"/>
      <c r="M23" s="502"/>
      <c r="N23" s="502"/>
      <c r="O23" s="502"/>
      <c r="P23" s="503" t="e">
        <f>+P21/#REF!</f>
        <v>#REF!</v>
      </c>
    </row>
    <row r="24" spans="2:16" ht="15" hidden="1">
      <c r="B24" s="476" t="s">
        <v>434</v>
      </c>
      <c r="C24" s="476"/>
      <c r="D24" s="476"/>
      <c r="F24" s="501"/>
      <c r="G24" s="502"/>
      <c r="H24" s="502"/>
      <c r="I24" s="502"/>
      <c r="J24" s="502"/>
      <c r="K24" s="502"/>
      <c r="L24" s="502"/>
      <c r="M24" s="502"/>
      <c r="N24" s="502"/>
      <c r="O24" s="502"/>
      <c r="P24" s="502"/>
    </row>
    <row r="25" spans="2:11" ht="15" hidden="1">
      <c r="B25" s="504" t="s">
        <v>435</v>
      </c>
      <c r="C25" s="476">
        <f>+(1270+1210)/2</f>
        <v>1240</v>
      </c>
      <c r="D25" s="476" t="s">
        <v>436</v>
      </c>
      <c r="F25" s="505"/>
      <c r="G25" s="506"/>
      <c r="H25" s="506"/>
      <c r="J25" s="507">
        <f>+I21-J21</f>
        <v>120970.81924</v>
      </c>
      <c r="K25" s="500" t="e">
        <f>+#REF!-P21</f>
        <v>#REF!</v>
      </c>
    </row>
    <row r="26" spans="2:15" ht="15" hidden="1">
      <c r="B26" s="476" t="s">
        <v>437</v>
      </c>
      <c r="C26" s="476"/>
      <c r="D26" s="476"/>
      <c r="F26" s="505"/>
      <c r="G26" s="506"/>
      <c r="H26" s="506"/>
      <c r="I26" s="508"/>
      <c r="J26" s="509">
        <f>+J25/I21</f>
        <v>0.9980271174472001</v>
      </c>
      <c r="K26" s="509" t="e">
        <f>+K25/#REF!</f>
        <v>#REF!</v>
      </c>
      <c r="L26" s="508"/>
      <c r="M26" s="508"/>
      <c r="N26" s="508"/>
      <c r="O26" s="508"/>
    </row>
    <row r="27" spans="2:15" ht="15" hidden="1">
      <c r="B27" s="504" t="s">
        <v>438</v>
      </c>
      <c r="C27" s="476">
        <v>194.67</v>
      </c>
      <c r="D27" s="476" t="s">
        <v>439</v>
      </c>
      <c r="F27" s="505"/>
      <c r="G27" s="506"/>
      <c r="H27" s="506"/>
      <c r="I27" s="508"/>
      <c r="J27" s="508"/>
      <c r="K27" s="508"/>
      <c r="L27" s="508"/>
      <c r="M27" s="508"/>
      <c r="N27" s="508"/>
      <c r="O27" s="508"/>
    </row>
    <row r="28" spans="2:8" ht="15" hidden="1">
      <c r="B28" s="504" t="s">
        <v>440</v>
      </c>
      <c r="C28" s="476">
        <v>173.04</v>
      </c>
      <c r="D28" s="476" t="s">
        <v>439</v>
      </c>
      <c r="F28" s="505"/>
      <c r="G28" s="506"/>
      <c r="H28" s="506"/>
    </row>
    <row r="29" spans="2:16" ht="15" hidden="1">
      <c r="B29" s="504" t="s">
        <v>441</v>
      </c>
      <c r="C29" s="476">
        <v>111.72</v>
      </c>
      <c r="D29" s="476" t="s">
        <v>439</v>
      </c>
      <c r="F29" s="505"/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2:4" ht="15" hidden="1">
      <c r="B30" s="504" t="s">
        <v>442</v>
      </c>
      <c r="C30" s="476">
        <v>111.72</v>
      </c>
      <c r="D30" s="476" t="s">
        <v>439</v>
      </c>
    </row>
    <row r="31" spans="2:4" ht="15" hidden="1">
      <c r="B31" s="504" t="s">
        <v>443</v>
      </c>
      <c r="C31" s="476">
        <v>111.72</v>
      </c>
      <c r="D31" s="476" t="s">
        <v>439</v>
      </c>
    </row>
    <row r="32" spans="2:22" ht="15">
      <c r="B32" s="657"/>
      <c r="C32" s="657"/>
      <c r="D32" s="657"/>
      <c r="E32" s="657"/>
      <c r="F32" s="657"/>
      <c r="G32" s="657"/>
      <c r="J32" s="633"/>
      <c r="V32" s="632"/>
    </row>
    <row r="33" spans="3:10" ht="15">
      <c r="C33" s="511"/>
      <c r="D33" s="511"/>
      <c r="E33" s="511"/>
      <c r="F33" s="511"/>
      <c r="G33" s="511"/>
      <c r="J33" s="507"/>
    </row>
    <row r="34" ht="15">
      <c r="J34" s="512"/>
    </row>
    <row r="35" spans="3:7" ht="15">
      <c r="C35" s="511"/>
      <c r="D35" s="511"/>
      <c r="E35" s="500"/>
      <c r="F35" s="500"/>
      <c r="G35" s="500"/>
    </row>
    <row r="36" spans="3:7" ht="15">
      <c r="C36" s="511"/>
      <c r="D36" s="511"/>
      <c r="E36" s="500"/>
      <c r="F36" s="500"/>
      <c r="G36" s="500"/>
    </row>
  </sheetData>
  <sheetProtection/>
  <mergeCells count="20">
    <mergeCell ref="B32:G32"/>
    <mergeCell ref="V4:V6"/>
    <mergeCell ref="Q4:Q6"/>
    <mergeCell ref="C5:C6"/>
    <mergeCell ref="D5:H5"/>
    <mergeCell ref="R5:R6"/>
    <mergeCell ref="R4:T4"/>
    <mergeCell ref="U4:U6"/>
    <mergeCell ref="S5:T5"/>
    <mergeCell ref="I5:I6"/>
    <mergeCell ref="J5:J6"/>
    <mergeCell ref="B1:F1"/>
    <mergeCell ref="B2:F2"/>
    <mergeCell ref="P5:P6"/>
    <mergeCell ref="A4:A6"/>
    <mergeCell ref="B4:B6"/>
    <mergeCell ref="C4:I4"/>
    <mergeCell ref="J4:P4"/>
    <mergeCell ref="K5:O5"/>
    <mergeCell ref="A3:V3"/>
  </mergeCells>
  <printOptions horizontalCentered="1"/>
  <pageMargins left="0.2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R3" sqref="R3:U3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59" customFormat="1" ht="30.75" customHeight="1">
      <c r="A1" s="792" t="s">
        <v>372</v>
      </c>
      <c r="B1" s="793"/>
      <c r="C1" s="793"/>
      <c r="D1" s="793"/>
      <c r="E1" s="793"/>
      <c r="F1" s="793"/>
      <c r="G1" s="793"/>
      <c r="H1" s="792" t="s">
        <v>371</v>
      </c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</row>
    <row r="2" ht="12.75" customHeight="1"/>
    <row r="3" spans="1:22" ht="27" customHeight="1">
      <c r="A3" s="791" t="s">
        <v>5</v>
      </c>
      <c r="B3" s="789" t="s">
        <v>318</v>
      </c>
      <c r="C3" s="789" t="s">
        <v>319</v>
      </c>
      <c r="D3" s="789"/>
      <c r="E3" s="789"/>
      <c r="F3" s="789"/>
      <c r="G3" s="789"/>
      <c r="H3" s="789" t="s">
        <v>320</v>
      </c>
      <c r="I3" s="789"/>
      <c r="J3" s="789"/>
      <c r="K3" s="789"/>
      <c r="L3" s="789"/>
      <c r="M3" s="789"/>
      <c r="N3" s="789"/>
      <c r="O3" s="789"/>
      <c r="P3" s="789"/>
      <c r="Q3" s="789" t="s">
        <v>185</v>
      </c>
      <c r="R3" s="794" t="s">
        <v>462</v>
      </c>
      <c r="S3" s="794"/>
      <c r="T3" s="794"/>
      <c r="U3" s="794"/>
      <c r="V3" s="789" t="s">
        <v>321</v>
      </c>
    </row>
    <row r="4" spans="1:22" ht="15.75" customHeight="1">
      <c r="A4" s="791"/>
      <c r="B4" s="789"/>
      <c r="C4" s="790" t="s">
        <v>322</v>
      </c>
      <c r="D4" s="387"/>
      <c r="E4" s="790" t="s">
        <v>323</v>
      </c>
      <c r="F4" s="790" t="s">
        <v>324</v>
      </c>
      <c r="G4" s="790" t="s">
        <v>325</v>
      </c>
      <c r="H4" s="789" t="s">
        <v>326</v>
      </c>
      <c r="I4" s="789"/>
      <c r="J4" s="789"/>
      <c r="K4" s="789" t="s">
        <v>327</v>
      </c>
      <c r="L4" s="789"/>
      <c r="M4" s="789"/>
      <c r="N4" s="789" t="s">
        <v>328</v>
      </c>
      <c r="O4" s="789"/>
      <c r="P4" s="789"/>
      <c r="Q4" s="789"/>
      <c r="R4" s="790" t="s">
        <v>322</v>
      </c>
      <c r="S4" s="790" t="s">
        <v>323</v>
      </c>
      <c r="T4" s="790" t="s">
        <v>324</v>
      </c>
      <c r="U4" s="790" t="s">
        <v>325</v>
      </c>
      <c r="V4" s="789"/>
    </row>
    <row r="5" spans="1:22" ht="75.75" customHeight="1">
      <c r="A5" s="791"/>
      <c r="B5" s="789"/>
      <c r="C5" s="790"/>
      <c r="D5" s="387"/>
      <c r="E5" s="790"/>
      <c r="F5" s="790"/>
      <c r="G5" s="790"/>
      <c r="H5" s="387" t="s">
        <v>329</v>
      </c>
      <c r="I5" s="387" t="s">
        <v>330</v>
      </c>
      <c r="J5" s="387" t="s">
        <v>331</v>
      </c>
      <c r="K5" s="387" t="s">
        <v>332</v>
      </c>
      <c r="L5" s="387" t="s">
        <v>333</v>
      </c>
      <c r="M5" s="387" t="s">
        <v>334</v>
      </c>
      <c r="N5" s="387" t="s">
        <v>335</v>
      </c>
      <c r="O5" s="387" t="s">
        <v>336</v>
      </c>
      <c r="P5" s="387" t="s">
        <v>337</v>
      </c>
      <c r="Q5" s="789"/>
      <c r="R5" s="790"/>
      <c r="S5" s="790"/>
      <c r="T5" s="790"/>
      <c r="U5" s="790"/>
      <c r="V5" s="789"/>
    </row>
    <row r="6" spans="1:21" ht="19.5" customHeight="1">
      <c r="A6" s="388"/>
      <c r="B6" s="389" t="s">
        <v>338</v>
      </c>
      <c r="C6" s="390">
        <f>+SUM(C7:C37)</f>
        <v>80</v>
      </c>
      <c r="D6" s="390"/>
      <c r="E6" s="390">
        <f>+SUM(E7:E37)</f>
        <v>19.299999999999997</v>
      </c>
      <c r="F6" s="390">
        <f>+SUM(F7:F37)</f>
        <v>45.19999999999999</v>
      </c>
      <c r="G6" s="390">
        <f>+SUM(G7:G37)</f>
        <v>15.499999999999998</v>
      </c>
      <c r="H6" s="390">
        <f>+SUM(H7:H37)</f>
        <v>1331.6999999999998</v>
      </c>
      <c r="I6" s="390">
        <f aca="true" t="shared" si="0" ref="I6:P6">+SUM(I7:I37)</f>
        <v>1536.8000000000002</v>
      </c>
      <c r="J6" s="390">
        <f t="shared" si="0"/>
        <v>1038.5</v>
      </c>
      <c r="K6" s="390">
        <f t="shared" si="0"/>
        <v>965</v>
      </c>
      <c r="L6" s="390">
        <f t="shared" si="0"/>
        <v>2260</v>
      </c>
      <c r="M6" s="390">
        <f t="shared" si="0"/>
        <v>527</v>
      </c>
      <c r="N6" s="390">
        <f t="shared" si="0"/>
        <v>1042.1999999999998</v>
      </c>
      <c r="O6" s="390">
        <f t="shared" si="0"/>
        <v>1265.6000000000001</v>
      </c>
      <c r="P6" s="390">
        <f t="shared" si="0"/>
        <v>170.5</v>
      </c>
      <c r="Q6" s="390">
        <f>+SUM(Q7:Q37)</f>
        <v>10137.3</v>
      </c>
      <c r="R6" s="390"/>
      <c r="S6" s="390"/>
      <c r="T6" s="390"/>
      <c r="U6" s="390"/>
    </row>
    <row r="7" spans="1:22" ht="19.5" customHeight="1">
      <c r="A7" s="391">
        <v>1</v>
      </c>
      <c r="B7" s="392" t="s">
        <v>339</v>
      </c>
      <c r="C7" s="392">
        <f aca="true" t="shared" si="1" ref="C7:C37">+E7+F7+G7</f>
        <v>2.4</v>
      </c>
      <c r="D7" s="392"/>
      <c r="E7" s="392"/>
      <c r="F7" s="392">
        <v>1.9</v>
      </c>
      <c r="G7" s="392">
        <v>0.5</v>
      </c>
      <c r="H7" s="392">
        <f>+E7*69</f>
        <v>0</v>
      </c>
      <c r="I7" s="392">
        <f>+F7*34</f>
        <v>64.6</v>
      </c>
      <c r="J7" s="392">
        <f>+G7*67</f>
        <v>33.5</v>
      </c>
      <c r="K7" s="392">
        <f>+E7*50</f>
        <v>0</v>
      </c>
      <c r="L7" s="392">
        <f>+F7*50</f>
        <v>95</v>
      </c>
      <c r="M7" s="392">
        <f>+G7*34</f>
        <v>17</v>
      </c>
      <c r="N7" s="392">
        <f>+E7*54</f>
        <v>0</v>
      </c>
      <c r="O7" s="392">
        <f>+F7*28</f>
        <v>53.199999999999996</v>
      </c>
      <c r="P7" s="392">
        <f>+G7*11</f>
        <v>5.5</v>
      </c>
      <c r="Q7" s="392">
        <f>+H7+I7+J7+K7+L7+M7+N7+O7+P7</f>
        <v>268.8</v>
      </c>
      <c r="R7" s="393">
        <f>+SUM(S7:U7)</f>
        <v>0</v>
      </c>
      <c r="S7" s="392"/>
      <c r="T7" s="392"/>
      <c r="U7" s="392"/>
      <c r="V7" s="394">
        <v>72</v>
      </c>
    </row>
    <row r="8" spans="1:22" ht="19.5" customHeight="1">
      <c r="A8" s="391">
        <v>2</v>
      </c>
      <c r="B8" s="392" t="s">
        <v>340</v>
      </c>
      <c r="C8" s="392">
        <f t="shared" si="1"/>
        <v>2</v>
      </c>
      <c r="D8" s="392"/>
      <c r="E8" s="392"/>
      <c r="F8" s="392">
        <v>1</v>
      </c>
      <c r="G8" s="392">
        <v>1</v>
      </c>
      <c r="H8" s="392">
        <f aca="true" t="shared" si="2" ref="H8:H37">+E8*69</f>
        <v>0</v>
      </c>
      <c r="I8" s="392">
        <f aca="true" t="shared" si="3" ref="I8:I37">+F8*34</f>
        <v>34</v>
      </c>
      <c r="J8" s="392">
        <f aca="true" t="shared" si="4" ref="J8:J37">+G8*67</f>
        <v>67</v>
      </c>
      <c r="K8" s="392">
        <f aca="true" t="shared" si="5" ref="K8:L37">+E8*50</f>
        <v>0</v>
      </c>
      <c r="L8" s="392">
        <f t="shared" si="5"/>
        <v>50</v>
      </c>
      <c r="M8" s="392">
        <f aca="true" t="shared" si="6" ref="M8:M37">+G8*34</f>
        <v>34</v>
      </c>
      <c r="N8" s="392">
        <f aca="true" t="shared" si="7" ref="N8:N37">+E8*54</f>
        <v>0</v>
      </c>
      <c r="O8" s="392">
        <f aca="true" t="shared" si="8" ref="O8:O37">+F8*28</f>
        <v>28</v>
      </c>
      <c r="P8" s="392">
        <f aca="true" t="shared" si="9" ref="P8:P37">+G8*11</f>
        <v>11</v>
      </c>
      <c r="Q8" s="392">
        <f aca="true" t="shared" si="10" ref="Q8:Q37">+H8+I8+J8+K8+L8+M8+N8+O8+P8</f>
        <v>224</v>
      </c>
      <c r="R8" s="393">
        <f aca="true" t="shared" si="11" ref="R8:R36">+SUM(S8:U8)</f>
        <v>0</v>
      </c>
      <c r="S8" s="392"/>
      <c r="T8" s="392"/>
      <c r="U8" s="392"/>
      <c r="V8" s="395">
        <v>24</v>
      </c>
    </row>
    <row r="9" spans="1:22" ht="19.5" customHeight="1">
      <c r="A9" s="391">
        <v>3</v>
      </c>
      <c r="B9" s="392" t="s">
        <v>341</v>
      </c>
      <c r="C9" s="392">
        <f t="shared" si="1"/>
        <v>2.1</v>
      </c>
      <c r="D9" s="392"/>
      <c r="E9" s="392">
        <v>0.3</v>
      </c>
      <c r="F9" s="392">
        <v>1.1</v>
      </c>
      <c r="G9" s="392">
        <v>0.7</v>
      </c>
      <c r="H9" s="392">
        <f t="shared" si="2"/>
        <v>20.7</v>
      </c>
      <c r="I9" s="392">
        <f t="shared" si="3"/>
        <v>37.400000000000006</v>
      </c>
      <c r="J9" s="392">
        <f t="shared" si="4"/>
        <v>46.9</v>
      </c>
      <c r="K9" s="392">
        <f t="shared" si="5"/>
        <v>15</v>
      </c>
      <c r="L9" s="392">
        <f t="shared" si="5"/>
        <v>55.00000000000001</v>
      </c>
      <c r="M9" s="392">
        <f t="shared" si="6"/>
        <v>23.799999999999997</v>
      </c>
      <c r="N9" s="392">
        <f t="shared" si="7"/>
        <v>16.2</v>
      </c>
      <c r="O9" s="392">
        <f t="shared" si="8"/>
        <v>30.800000000000004</v>
      </c>
      <c r="P9" s="392">
        <f t="shared" si="9"/>
        <v>7.699999999999999</v>
      </c>
      <c r="Q9" s="392">
        <f t="shared" si="10"/>
        <v>253.5</v>
      </c>
      <c r="R9" s="393">
        <f t="shared" si="11"/>
        <v>0.1</v>
      </c>
      <c r="S9" s="392"/>
      <c r="T9" s="395">
        <v>0.1</v>
      </c>
      <c r="U9" s="392"/>
      <c r="V9" s="395">
        <v>24</v>
      </c>
    </row>
    <row r="10" spans="1:22" ht="19.5" customHeight="1">
      <c r="A10" s="391">
        <v>4</v>
      </c>
      <c r="B10" s="392" t="s">
        <v>342</v>
      </c>
      <c r="C10" s="392">
        <f t="shared" si="1"/>
        <v>4.7</v>
      </c>
      <c r="D10" s="392"/>
      <c r="E10" s="392"/>
      <c r="F10" s="392">
        <v>4.7</v>
      </c>
      <c r="G10" s="392"/>
      <c r="H10" s="392">
        <f t="shared" si="2"/>
        <v>0</v>
      </c>
      <c r="I10" s="392">
        <f t="shared" si="3"/>
        <v>159.8</v>
      </c>
      <c r="J10" s="392">
        <f t="shared" si="4"/>
        <v>0</v>
      </c>
      <c r="K10" s="392">
        <f t="shared" si="5"/>
        <v>0</v>
      </c>
      <c r="L10" s="392">
        <f t="shared" si="5"/>
        <v>235</v>
      </c>
      <c r="M10" s="392">
        <f t="shared" si="6"/>
        <v>0</v>
      </c>
      <c r="N10" s="392">
        <f t="shared" si="7"/>
        <v>0</v>
      </c>
      <c r="O10" s="392">
        <f t="shared" si="8"/>
        <v>131.6</v>
      </c>
      <c r="P10" s="392">
        <f t="shared" si="9"/>
        <v>0</v>
      </c>
      <c r="Q10" s="392">
        <f t="shared" si="10"/>
        <v>526.4</v>
      </c>
      <c r="R10" s="393">
        <f t="shared" si="11"/>
        <v>0.77</v>
      </c>
      <c r="S10" s="392"/>
      <c r="T10" s="395">
        <v>0.77</v>
      </c>
      <c r="U10" s="392"/>
      <c r="V10" s="395">
        <v>400</v>
      </c>
    </row>
    <row r="11" spans="1:22" ht="19.5" customHeight="1">
      <c r="A11" s="391">
        <v>5</v>
      </c>
      <c r="B11" s="392" t="s">
        <v>343</v>
      </c>
      <c r="C11" s="392">
        <f t="shared" si="1"/>
        <v>4.2</v>
      </c>
      <c r="D11" s="392"/>
      <c r="E11" s="392">
        <v>1</v>
      </c>
      <c r="F11" s="392">
        <v>2.4</v>
      </c>
      <c r="G11" s="392">
        <v>0.8</v>
      </c>
      <c r="H11" s="392">
        <f t="shared" si="2"/>
        <v>69</v>
      </c>
      <c r="I11" s="392">
        <f t="shared" si="3"/>
        <v>81.6</v>
      </c>
      <c r="J11" s="392">
        <f t="shared" si="4"/>
        <v>53.6</v>
      </c>
      <c r="K11" s="392">
        <f t="shared" si="5"/>
        <v>50</v>
      </c>
      <c r="L11" s="392">
        <f t="shared" si="5"/>
        <v>120</v>
      </c>
      <c r="M11" s="392">
        <f t="shared" si="6"/>
        <v>27.200000000000003</v>
      </c>
      <c r="N11" s="392">
        <f t="shared" si="7"/>
        <v>54</v>
      </c>
      <c r="O11" s="392">
        <f t="shared" si="8"/>
        <v>67.2</v>
      </c>
      <c r="P11" s="392">
        <f t="shared" si="9"/>
        <v>8.8</v>
      </c>
      <c r="Q11" s="392">
        <f t="shared" si="10"/>
        <v>531.4</v>
      </c>
      <c r="R11" s="393">
        <f t="shared" si="11"/>
        <v>0.04</v>
      </c>
      <c r="S11" s="392"/>
      <c r="T11" s="395">
        <v>0.04</v>
      </c>
      <c r="U11" s="392"/>
      <c r="V11" s="395">
        <f>107+24</f>
        <v>131</v>
      </c>
    </row>
    <row r="12" spans="1:22" ht="19.5" customHeight="1">
      <c r="A12" s="391">
        <v>6</v>
      </c>
      <c r="B12" s="392" t="s">
        <v>344</v>
      </c>
      <c r="C12" s="392">
        <f t="shared" si="1"/>
        <v>2.4</v>
      </c>
      <c r="D12" s="392"/>
      <c r="E12" s="392">
        <v>1.7</v>
      </c>
      <c r="F12" s="392">
        <v>0.1</v>
      </c>
      <c r="G12" s="392">
        <v>0.6</v>
      </c>
      <c r="H12" s="392">
        <f t="shared" si="2"/>
        <v>117.3</v>
      </c>
      <c r="I12" s="392">
        <f t="shared" si="3"/>
        <v>3.4000000000000004</v>
      </c>
      <c r="J12" s="392">
        <f t="shared" si="4"/>
        <v>40.199999999999996</v>
      </c>
      <c r="K12" s="392">
        <f t="shared" si="5"/>
        <v>85</v>
      </c>
      <c r="L12" s="392">
        <f t="shared" si="5"/>
        <v>5</v>
      </c>
      <c r="M12" s="392">
        <f t="shared" si="6"/>
        <v>20.4</v>
      </c>
      <c r="N12" s="392">
        <f t="shared" si="7"/>
        <v>91.8</v>
      </c>
      <c r="O12" s="392">
        <f t="shared" si="8"/>
        <v>2.8000000000000003</v>
      </c>
      <c r="P12" s="392">
        <f t="shared" si="9"/>
        <v>6.6</v>
      </c>
      <c r="Q12" s="392">
        <f t="shared" si="10"/>
        <v>372.50000000000006</v>
      </c>
      <c r="R12" s="393">
        <f t="shared" si="11"/>
        <v>0</v>
      </c>
      <c r="S12" s="392"/>
      <c r="T12" s="392"/>
      <c r="U12" s="392"/>
      <c r="V12" s="396"/>
    </row>
    <row r="13" spans="1:22" ht="19.5" customHeight="1">
      <c r="A13" s="391">
        <v>7</v>
      </c>
      <c r="B13" s="392" t="s">
        <v>345</v>
      </c>
      <c r="C13" s="392">
        <f t="shared" si="1"/>
        <v>2.5</v>
      </c>
      <c r="D13" s="392"/>
      <c r="E13" s="392"/>
      <c r="F13" s="392">
        <v>2</v>
      </c>
      <c r="G13" s="392">
        <v>0.5</v>
      </c>
      <c r="H13" s="392">
        <f t="shared" si="2"/>
        <v>0</v>
      </c>
      <c r="I13" s="392">
        <f t="shared" si="3"/>
        <v>68</v>
      </c>
      <c r="J13" s="392">
        <f t="shared" si="4"/>
        <v>33.5</v>
      </c>
      <c r="K13" s="392">
        <f t="shared" si="5"/>
        <v>0</v>
      </c>
      <c r="L13" s="392">
        <f t="shared" si="5"/>
        <v>100</v>
      </c>
      <c r="M13" s="392">
        <f t="shared" si="6"/>
        <v>17</v>
      </c>
      <c r="N13" s="392">
        <f t="shared" si="7"/>
        <v>0</v>
      </c>
      <c r="O13" s="392">
        <f t="shared" si="8"/>
        <v>56</v>
      </c>
      <c r="P13" s="392">
        <f t="shared" si="9"/>
        <v>5.5</v>
      </c>
      <c r="Q13" s="392">
        <f t="shared" si="10"/>
        <v>280</v>
      </c>
      <c r="R13" s="393">
        <f t="shared" si="11"/>
        <v>0</v>
      </c>
      <c r="S13" s="392"/>
      <c r="T13" s="392"/>
      <c r="U13" s="392"/>
      <c r="V13" s="396"/>
    </row>
    <row r="14" spans="1:22" ht="19.5" customHeight="1">
      <c r="A14" s="391">
        <v>8</v>
      </c>
      <c r="B14" s="392" t="s">
        <v>346</v>
      </c>
      <c r="C14" s="392">
        <f t="shared" si="1"/>
        <v>1.7</v>
      </c>
      <c r="D14" s="392"/>
      <c r="E14" s="392">
        <v>0.2</v>
      </c>
      <c r="F14" s="392">
        <v>1.5</v>
      </c>
      <c r="G14" s="392"/>
      <c r="H14" s="392">
        <f t="shared" si="2"/>
        <v>13.8</v>
      </c>
      <c r="I14" s="392">
        <f t="shared" si="3"/>
        <v>51</v>
      </c>
      <c r="J14" s="392">
        <f t="shared" si="4"/>
        <v>0</v>
      </c>
      <c r="K14" s="392">
        <f t="shared" si="5"/>
        <v>10</v>
      </c>
      <c r="L14" s="392">
        <f t="shared" si="5"/>
        <v>75</v>
      </c>
      <c r="M14" s="392">
        <f t="shared" si="6"/>
        <v>0</v>
      </c>
      <c r="N14" s="392">
        <f t="shared" si="7"/>
        <v>10.8</v>
      </c>
      <c r="O14" s="392">
        <f t="shared" si="8"/>
        <v>42</v>
      </c>
      <c r="P14" s="392">
        <f t="shared" si="9"/>
        <v>0</v>
      </c>
      <c r="Q14" s="392">
        <f t="shared" si="10"/>
        <v>202.60000000000002</v>
      </c>
      <c r="R14" s="393">
        <f t="shared" si="11"/>
        <v>0</v>
      </c>
      <c r="S14" s="392"/>
      <c r="T14" s="392"/>
      <c r="U14" s="392"/>
      <c r="V14" s="396"/>
    </row>
    <row r="15" spans="1:22" ht="19.5" customHeight="1">
      <c r="A15" s="391">
        <v>9</v>
      </c>
      <c r="B15" s="392" t="s">
        <v>347</v>
      </c>
      <c r="C15" s="392">
        <f t="shared" si="1"/>
        <v>2.4</v>
      </c>
      <c r="D15" s="392"/>
      <c r="E15" s="392"/>
      <c r="F15" s="392">
        <v>2.4</v>
      </c>
      <c r="G15" s="392"/>
      <c r="H15" s="392">
        <f t="shared" si="2"/>
        <v>0</v>
      </c>
      <c r="I15" s="392">
        <f t="shared" si="3"/>
        <v>81.6</v>
      </c>
      <c r="J15" s="392">
        <f t="shared" si="4"/>
        <v>0</v>
      </c>
      <c r="K15" s="392">
        <f t="shared" si="5"/>
        <v>0</v>
      </c>
      <c r="L15" s="392">
        <f t="shared" si="5"/>
        <v>120</v>
      </c>
      <c r="M15" s="392">
        <f t="shared" si="6"/>
        <v>0</v>
      </c>
      <c r="N15" s="392">
        <f t="shared" si="7"/>
        <v>0</v>
      </c>
      <c r="O15" s="392">
        <f t="shared" si="8"/>
        <v>67.2</v>
      </c>
      <c r="P15" s="392">
        <f t="shared" si="9"/>
        <v>0</v>
      </c>
      <c r="Q15" s="392">
        <f t="shared" si="10"/>
        <v>268.8</v>
      </c>
      <c r="R15" s="393">
        <f t="shared" si="11"/>
        <v>0</v>
      </c>
      <c r="S15" s="392"/>
      <c r="T15" s="392"/>
      <c r="U15" s="392"/>
      <c r="V15" s="395">
        <v>48</v>
      </c>
    </row>
    <row r="16" spans="1:22" ht="19.5" customHeight="1">
      <c r="A16" s="391">
        <v>10</v>
      </c>
      <c r="B16" s="392" t="s">
        <v>348</v>
      </c>
      <c r="C16" s="392">
        <f t="shared" si="1"/>
        <v>2</v>
      </c>
      <c r="D16" s="392"/>
      <c r="E16" s="392"/>
      <c r="F16" s="392">
        <v>2</v>
      </c>
      <c r="G16" s="392"/>
      <c r="H16" s="392">
        <f t="shared" si="2"/>
        <v>0</v>
      </c>
      <c r="I16" s="392">
        <f t="shared" si="3"/>
        <v>68</v>
      </c>
      <c r="J16" s="392">
        <f t="shared" si="4"/>
        <v>0</v>
      </c>
      <c r="K16" s="392">
        <f t="shared" si="5"/>
        <v>0</v>
      </c>
      <c r="L16" s="392">
        <f t="shared" si="5"/>
        <v>100</v>
      </c>
      <c r="M16" s="392">
        <f t="shared" si="6"/>
        <v>0</v>
      </c>
      <c r="N16" s="392">
        <f t="shared" si="7"/>
        <v>0</v>
      </c>
      <c r="O16" s="392">
        <f t="shared" si="8"/>
        <v>56</v>
      </c>
      <c r="P16" s="392">
        <f t="shared" si="9"/>
        <v>0</v>
      </c>
      <c r="Q16" s="392">
        <f t="shared" si="10"/>
        <v>224</v>
      </c>
      <c r="R16" s="393">
        <f t="shared" si="11"/>
        <v>0.6</v>
      </c>
      <c r="S16" s="392"/>
      <c r="T16" s="395">
        <v>0.6</v>
      </c>
      <c r="U16" s="392"/>
      <c r="V16" s="395">
        <v>134</v>
      </c>
    </row>
    <row r="17" spans="1:22" ht="19.5" customHeight="1">
      <c r="A17" s="391">
        <v>11</v>
      </c>
      <c r="B17" s="392" t="s">
        <v>349</v>
      </c>
      <c r="C17" s="392">
        <f t="shared" si="1"/>
        <v>2.4</v>
      </c>
      <c r="D17" s="392"/>
      <c r="E17" s="392">
        <v>2</v>
      </c>
      <c r="F17" s="392">
        <v>0.4</v>
      </c>
      <c r="G17" s="392"/>
      <c r="H17" s="392">
        <f t="shared" si="2"/>
        <v>138</v>
      </c>
      <c r="I17" s="392">
        <f t="shared" si="3"/>
        <v>13.600000000000001</v>
      </c>
      <c r="J17" s="392">
        <f t="shared" si="4"/>
        <v>0</v>
      </c>
      <c r="K17" s="392">
        <f t="shared" si="5"/>
        <v>100</v>
      </c>
      <c r="L17" s="392">
        <f t="shared" si="5"/>
        <v>20</v>
      </c>
      <c r="M17" s="392">
        <f t="shared" si="6"/>
        <v>0</v>
      </c>
      <c r="N17" s="392">
        <f t="shared" si="7"/>
        <v>108</v>
      </c>
      <c r="O17" s="392">
        <f t="shared" si="8"/>
        <v>11.200000000000001</v>
      </c>
      <c r="P17" s="392">
        <f t="shared" si="9"/>
        <v>0</v>
      </c>
      <c r="Q17" s="392">
        <f t="shared" si="10"/>
        <v>390.8</v>
      </c>
      <c r="R17" s="393">
        <f t="shared" si="11"/>
        <v>0</v>
      </c>
      <c r="S17" s="392"/>
      <c r="T17" s="392"/>
      <c r="U17" s="392"/>
      <c r="V17" s="396"/>
    </row>
    <row r="18" spans="1:22" ht="19.5" customHeight="1">
      <c r="A18" s="391">
        <v>12</v>
      </c>
      <c r="B18" s="392" t="s">
        <v>350</v>
      </c>
      <c r="C18" s="397">
        <f t="shared" si="1"/>
        <v>2.4</v>
      </c>
      <c r="D18" s="397"/>
      <c r="E18" s="397">
        <v>0.1</v>
      </c>
      <c r="F18" s="397">
        <v>2.3</v>
      </c>
      <c r="G18" s="397"/>
      <c r="H18" s="392">
        <f t="shared" si="2"/>
        <v>6.9</v>
      </c>
      <c r="I18" s="392">
        <f t="shared" si="3"/>
        <v>78.19999999999999</v>
      </c>
      <c r="J18" s="392">
        <f t="shared" si="4"/>
        <v>0</v>
      </c>
      <c r="K18" s="392">
        <f t="shared" si="5"/>
        <v>5</v>
      </c>
      <c r="L18" s="392">
        <f t="shared" si="5"/>
        <v>114.99999999999999</v>
      </c>
      <c r="M18" s="392">
        <f t="shared" si="6"/>
        <v>0</v>
      </c>
      <c r="N18" s="392">
        <f t="shared" si="7"/>
        <v>5.4</v>
      </c>
      <c r="O18" s="392">
        <f t="shared" si="8"/>
        <v>64.39999999999999</v>
      </c>
      <c r="P18" s="392">
        <f t="shared" si="9"/>
        <v>0</v>
      </c>
      <c r="Q18" s="392">
        <f t="shared" si="10"/>
        <v>274.9</v>
      </c>
      <c r="R18" s="393">
        <f t="shared" si="11"/>
        <v>0</v>
      </c>
      <c r="S18" s="397"/>
      <c r="T18" s="397"/>
      <c r="U18" s="397"/>
      <c r="V18" s="396"/>
    </row>
    <row r="19" spans="1:22" ht="19.5" customHeight="1">
      <c r="A19" s="391">
        <v>13</v>
      </c>
      <c r="B19" s="392" t="s">
        <v>351</v>
      </c>
      <c r="C19" s="397">
        <f t="shared" si="1"/>
        <v>2.5</v>
      </c>
      <c r="D19" s="397"/>
      <c r="E19" s="397"/>
      <c r="F19" s="397">
        <v>1</v>
      </c>
      <c r="G19" s="397">
        <f>0.15+0.15+0.15+0.13+0.12+0.3+0.5</f>
        <v>1.5</v>
      </c>
      <c r="H19" s="392">
        <f t="shared" si="2"/>
        <v>0</v>
      </c>
      <c r="I19" s="392">
        <f t="shared" si="3"/>
        <v>34</v>
      </c>
      <c r="J19" s="392">
        <f t="shared" si="4"/>
        <v>100.5</v>
      </c>
      <c r="K19" s="392">
        <f t="shared" si="5"/>
        <v>0</v>
      </c>
      <c r="L19" s="392">
        <f t="shared" si="5"/>
        <v>50</v>
      </c>
      <c r="M19" s="392">
        <f t="shared" si="6"/>
        <v>51</v>
      </c>
      <c r="N19" s="392">
        <f t="shared" si="7"/>
        <v>0</v>
      </c>
      <c r="O19" s="392">
        <f t="shared" si="8"/>
        <v>28</v>
      </c>
      <c r="P19" s="392">
        <f t="shared" si="9"/>
        <v>16.5</v>
      </c>
      <c r="Q19" s="392">
        <f t="shared" si="10"/>
        <v>280</v>
      </c>
      <c r="R19" s="393">
        <f t="shared" si="11"/>
        <v>1.7</v>
      </c>
      <c r="S19" s="397"/>
      <c r="T19" s="395">
        <v>1.7</v>
      </c>
      <c r="U19" s="397"/>
      <c r="V19" s="395">
        <v>360</v>
      </c>
    </row>
    <row r="20" spans="1:22" ht="19.5" customHeight="1">
      <c r="A20" s="391">
        <v>14</v>
      </c>
      <c r="B20" s="392" t="s">
        <v>352</v>
      </c>
      <c r="C20" s="392">
        <f t="shared" si="1"/>
        <v>1.5</v>
      </c>
      <c r="D20" s="392"/>
      <c r="E20" s="392">
        <v>0.5</v>
      </c>
      <c r="F20" s="392">
        <v>0.8</v>
      </c>
      <c r="G20" s="392">
        <v>0.2</v>
      </c>
      <c r="H20" s="392">
        <f t="shared" si="2"/>
        <v>34.5</v>
      </c>
      <c r="I20" s="392">
        <f t="shared" si="3"/>
        <v>27.200000000000003</v>
      </c>
      <c r="J20" s="392">
        <f t="shared" si="4"/>
        <v>13.4</v>
      </c>
      <c r="K20" s="392">
        <f t="shared" si="5"/>
        <v>25</v>
      </c>
      <c r="L20" s="392">
        <f t="shared" si="5"/>
        <v>40</v>
      </c>
      <c r="M20" s="392">
        <f t="shared" si="6"/>
        <v>6.800000000000001</v>
      </c>
      <c r="N20" s="392">
        <f t="shared" si="7"/>
        <v>27</v>
      </c>
      <c r="O20" s="392">
        <f t="shared" si="8"/>
        <v>22.400000000000002</v>
      </c>
      <c r="P20" s="392">
        <f t="shared" si="9"/>
        <v>2.2</v>
      </c>
      <c r="Q20" s="392">
        <f t="shared" si="10"/>
        <v>198.50000000000003</v>
      </c>
      <c r="R20" s="393">
        <f t="shared" si="11"/>
        <v>0</v>
      </c>
      <c r="S20" s="392"/>
      <c r="T20" s="392"/>
      <c r="U20" s="392"/>
      <c r="V20" s="396"/>
    </row>
    <row r="21" spans="1:22" ht="19.5" customHeight="1">
      <c r="A21" s="391">
        <v>15</v>
      </c>
      <c r="B21" s="392" t="s">
        <v>353</v>
      </c>
      <c r="C21" s="392">
        <f t="shared" si="1"/>
        <v>4.3</v>
      </c>
      <c r="D21" s="392"/>
      <c r="E21" s="392">
        <v>0.55</v>
      </c>
      <c r="F21" s="392">
        <v>2.75</v>
      </c>
      <c r="G21" s="392">
        <v>1</v>
      </c>
      <c r="H21" s="392">
        <f t="shared" si="2"/>
        <v>37.95</v>
      </c>
      <c r="I21" s="392">
        <f t="shared" si="3"/>
        <v>93.5</v>
      </c>
      <c r="J21" s="392">
        <f t="shared" si="4"/>
        <v>67</v>
      </c>
      <c r="K21" s="392">
        <f t="shared" si="5"/>
        <v>27.500000000000004</v>
      </c>
      <c r="L21" s="392">
        <f t="shared" si="5"/>
        <v>137.5</v>
      </c>
      <c r="M21" s="392">
        <f t="shared" si="6"/>
        <v>34</v>
      </c>
      <c r="N21" s="392">
        <f t="shared" si="7"/>
        <v>29.700000000000003</v>
      </c>
      <c r="O21" s="392">
        <f t="shared" si="8"/>
        <v>77</v>
      </c>
      <c r="P21" s="392">
        <f t="shared" si="9"/>
        <v>11</v>
      </c>
      <c r="Q21" s="392">
        <f t="shared" si="10"/>
        <v>515.15</v>
      </c>
      <c r="R21" s="393">
        <f t="shared" si="11"/>
        <v>0.45</v>
      </c>
      <c r="S21" s="392"/>
      <c r="T21" s="395">
        <v>0.45</v>
      </c>
      <c r="U21" s="392"/>
      <c r="V21" s="395">
        <v>121</v>
      </c>
    </row>
    <row r="22" spans="1:22" ht="19.5" customHeight="1">
      <c r="A22" s="391">
        <v>16</v>
      </c>
      <c r="B22" s="392" t="s">
        <v>354</v>
      </c>
      <c r="C22" s="392">
        <f t="shared" si="1"/>
        <v>2.2</v>
      </c>
      <c r="D22" s="392"/>
      <c r="E22" s="392">
        <v>1.2</v>
      </c>
      <c r="F22" s="392">
        <v>0.8</v>
      </c>
      <c r="G22" s="392">
        <v>0.2</v>
      </c>
      <c r="H22" s="392">
        <f t="shared" si="2"/>
        <v>82.8</v>
      </c>
      <c r="I22" s="392">
        <f t="shared" si="3"/>
        <v>27.200000000000003</v>
      </c>
      <c r="J22" s="392">
        <f t="shared" si="4"/>
        <v>13.4</v>
      </c>
      <c r="K22" s="392">
        <f t="shared" si="5"/>
        <v>60</v>
      </c>
      <c r="L22" s="392">
        <f t="shared" si="5"/>
        <v>40</v>
      </c>
      <c r="M22" s="392">
        <f t="shared" si="6"/>
        <v>6.800000000000001</v>
      </c>
      <c r="N22" s="392">
        <f t="shared" si="7"/>
        <v>64.8</v>
      </c>
      <c r="O22" s="392">
        <f t="shared" si="8"/>
        <v>22.400000000000002</v>
      </c>
      <c r="P22" s="392">
        <f t="shared" si="9"/>
        <v>2.2</v>
      </c>
      <c r="Q22" s="392">
        <f t="shared" si="10"/>
        <v>319.59999999999997</v>
      </c>
      <c r="R22" s="393">
        <f t="shared" si="11"/>
        <v>0</v>
      </c>
      <c r="S22" s="392"/>
      <c r="T22" s="392"/>
      <c r="U22" s="392"/>
      <c r="V22" s="396"/>
    </row>
    <row r="23" spans="1:22" ht="19.5" customHeight="1">
      <c r="A23" s="391">
        <v>17</v>
      </c>
      <c r="B23" s="392" t="s">
        <v>355</v>
      </c>
      <c r="C23" s="392">
        <f t="shared" si="1"/>
        <v>1.2</v>
      </c>
      <c r="D23" s="392"/>
      <c r="E23" s="392">
        <v>0.3</v>
      </c>
      <c r="F23" s="392">
        <v>0.9</v>
      </c>
      <c r="G23" s="392"/>
      <c r="H23" s="392">
        <f t="shared" si="2"/>
        <v>20.7</v>
      </c>
      <c r="I23" s="392">
        <f t="shared" si="3"/>
        <v>30.6</v>
      </c>
      <c r="J23" s="392">
        <f t="shared" si="4"/>
        <v>0</v>
      </c>
      <c r="K23" s="392">
        <f t="shared" si="5"/>
        <v>15</v>
      </c>
      <c r="L23" s="392">
        <f t="shared" si="5"/>
        <v>45</v>
      </c>
      <c r="M23" s="392">
        <f t="shared" si="6"/>
        <v>0</v>
      </c>
      <c r="N23" s="392">
        <f t="shared" si="7"/>
        <v>16.2</v>
      </c>
      <c r="O23" s="392">
        <f t="shared" si="8"/>
        <v>25.2</v>
      </c>
      <c r="P23" s="392">
        <f t="shared" si="9"/>
        <v>0</v>
      </c>
      <c r="Q23" s="392">
        <f t="shared" si="10"/>
        <v>152.7</v>
      </c>
      <c r="R23" s="393">
        <f t="shared" si="11"/>
        <v>0</v>
      </c>
      <c r="S23" s="392"/>
      <c r="T23" s="392"/>
      <c r="U23" s="392"/>
      <c r="V23" s="396"/>
    </row>
    <row r="24" spans="1:22" ht="19.5" customHeight="1">
      <c r="A24" s="391">
        <v>18</v>
      </c>
      <c r="B24" s="392" t="s">
        <v>356</v>
      </c>
      <c r="C24" s="392">
        <f t="shared" si="1"/>
        <v>2.5</v>
      </c>
      <c r="D24" s="392"/>
      <c r="E24" s="392">
        <v>1.3</v>
      </c>
      <c r="F24" s="392">
        <v>0.2</v>
      </c>
      <c r="G24" s="392">
        <v>1</v>
      </c>
      <c r="H24" s="392">
        <f t="shared" si="2"/>
        <v>89.7</v>
      </c>
      <c r="I24" s="392">
        <f t="shared" si="3"/>
        <v>6.800000000000001</v>
      </c>
      <c r="J24" s="392">
        <f t="shared" si="4"/>
        <v>67</v>
      </c>
      <c r="K24" s="392">
        <f t="shared" si="5"/>
        <v>65</v>
      </c>
      <c r="L24" s="392">
        <f t="shared" si="5"/>
        <v>10</v>
      </c>
      <c r="M24" s="392">
        <f t="shared" si="6"/>
        <v>34</v>
      </c>
      <c r="N24" s="392">
        <f t="shared" si="7"/>
        <v>70.2</v>
      </c>
      <c r="O24" s="392">
        <f t="shared" si="8"/>
        <v>5.6000000000000005</v>
      </c>
      <c r="P24" s="392">
        <f t="shared" si="9"/>
        <v>11</v>
      </c>
      <c r="Q24" s="392">
        <f t="shared" si="10"/>
        <v>359.3</v>
      </c>
      <c r="R24" s="393">
        <f t="shared" si="11"/>
        <v>0.4</v>
      </c>
      <c r="S24" s="395">
        <v>0.4</v>
      </c>
      <c r="T24" s="392"/>
      <c r="U24" s="392"/>
      <c r="V24" s="395">
        <v>96</v>
      </c>
    </row>
    <row r="25" spans="1:22" ht="19.5" customHeight="1">
      <c r="A25" s="391">
        <v>19</v>
      </c>
      <c r="B25" s="392" t="s">
        <v>357</v>
      </c>
      <c r="C25" s="392">
        <f>+E25+F25+G25</f>
        <v>2.3</v>
      </c>
      <c r="D25" s="392"/>
      <c r="E25" s="392">
        <v>1.2</v>
      </c>
      <c r="F25" s="392">
        <v>0.5</v>
      </c>
      <c r="G25" s="392">
        <v>0.6</v>
      </c>
      <c r="H25" s="392">
        <f t="shared" si="2"/>
        <v>82.8</v>
      </c>
      <c r="I25" s="392">
        <f t="shared" si="3"/>
        <v>17</v>
      </c>
      <c r="J25" s="392">
        <f t="shared" si="4"/>
        <v>40.199999999999996</v>
      </c>
      <c r="K25" s="392">
        <f t="shared" si="5"/>
        <v>60</v>
      </c>
      <c r="L25" s="392">
        <f t="shared" si="5"/>
        <v>25</v>
      </c>
      <c r="M25" s="392">
        <f t="shared" si="6"/>
        <v>20.4</v>
      </c>
      <c r="N25" s="392">
        <f t="shared" si="7"/>
        <v>64.8</v>
      </c>
      <c r="O25" s="392">
        <f t="shared" si="8"/>
        <v>14</v>
      </c>
      <c r="P25" s="392">
        <f t="shared" si="9"/>
        <v>6.6</v>
      </c>
      <c r="Q25" s="392">
        <f t="shared" si="10"/>
        <v>330.8</v>
      </c>
      <c r="R25" s="393">
        <f t="shared" si="11"/>
        <v>0</v>
      </c>
      <c r="S25" s="392"/>
      <c r="T25" s="392"/>
      <c r="U25" s="392"/>
      <c r="V25" s="396"/>
    </row>
    <row r="26" spans="1:22" ht="19.5" customHeight="1">
      <c r="A26" s="391">
        <v>20</v>
      </c>
      <c r="B26" s="392" t="s">
        <v>358</v>
      </c>
      <c r="C26" s="392">
        <f t="shared" si="1"/>
        <v>4</v>
      </c>
      <c r="D26" s="392"/>
      <c r="E26" s="392">
        <v>0.2</v>
      </c>
      <c r="F26" s="392">
        <v>1</v>
      </c>
      <c r="G26" s="392">
        <v>2.8</v>
      </c>
      <c r="H26" s="392">
        <f t="shared" si="2"/>
        <v>13.8</v>
      </c>
      <c r="I26" s="392">
        <f t="shared" si="3"/>
        <v>34</v>
      </c>
      <c r="J26" s="392">
        <f t="shared" si="4"/>
        <v>187.6</v>
      </c>
      <c r="K26" s="392">
        <f t="shared" si="5"/>
        <v>10</v>
      </c>
      <c r="L26" s="392">
        <f t="shared" si="5"/>
        <v>50</v>
      </c>
      <c r="M26" s="392">
        <f t="shared" si="6"/>
        <v>95.19999999999999</v>
      </c>
      <c r="N26" s="392">
        <f t="shared" si="7"/>
        <v>10.8</v>
      </c>
      <c r="O26" s="392">
        <f t="shared" si="8"/>
        <v>28</v>
      </c>
      <c r="P26" s="392">
        <f t="shared" si="9"/>
        <v>30.799999999999997</v>
      </c>
      <c r="Q26" s="392">
        <f t="shared" si="10"/>
        <v>460.2</v>
      </c>
      <c r="R26" s="393">
        <f t="shared" si="11"/>
        <v>0.6000000000000001</v>
      </c>
      <c r="S26" s="392"/>
      <c r="T26" s="395">
        <v>0.2</v>
      </c>
      <c r="U26" s="395">
        <v>0.4</v>
      </c>
      <c r="V26" s="395">
        <v>238</v>
      </c>
    </row>
    <row r="27" spans="1:22" ht="19.5" customHeight="1">
      <c r="A27" s="391">
        <v>21</v>
      </c>
      <c r="B27" s="392" t="s">
        <v>359</v>
      </c>
      <c r="C27" s="392">
        <f t="shared" si="1"/>
        <v>4.199999999999999</v>
      </c>
      <c r="D27" s="392"/>
      <c r="E27" s="392">
        <v>1.9</v>
      </c>
      <c r="F27" s="392">
        <v>1.2</v>
      </c>
      <c r="G27" s="392">
        <v>1.1</v>
      </c>
      <c r="H27" s="392">
        <f t="shared" si="2"/>
        <v>131.1</v>
      </c>
      <c r="I27" s="392">
        <f t="shared" si="3"/>
        <v>40.8</v>
      </c>
      <c r="J27" s="392">
        <f t="shared" si="4"/>
        <v>73.7</v>
      </c>
      <c r="K27" s="392">
        <f t="shared" si="5"/>
        <v>95</v>
      </c>
      <c r="L27" s="392">
        <f t="shared" si="5"/>
        <v>60</v>
      </c>
      <c r="M27" s="392">
        <f t="shared" si="6"/>
        <v>37.400000000000006</v>
      </c>
      <c r="N27" s="392">
        <f t="shared" si="7"/>
        <v>102.6</v>
      </c>
      <c r="O27" s="392">
        <f t="shared" si="8"/>
        <v>33.6</v>
      </c>
      <c r="P27" s="392">
        <f t="shared" si="9"/>
        <v>12.100000000000001</v>
      </c>
      <c r="Q27" s="392">
        <f t="shared" si="10"/>
        <v>586.3000000000001</v>
      </c>
      <c r="R27" s="393">
        <f t="shared" si="11"/>
        <v>0.5</v>
      </c>
      <c r="S27" s="392"/>
      <c r="T27" s="395">
        <v>0.5</v>
      </c>
      <c r="U27" s="392"/>
      <c r="V27" s="395">
        <v>176</v>
      </c>
    </row>
    <row r="28" spans="1:22" ht="19.5" customHeight="1">
      <c r="A28" s="391">
        <v>22</v>
      </c>
      <c r="B28" s="392" t="s">
        <v>360</v>
      </c>
      <c r="C28" s="392">
        <f t="shared" si="1"/>
        <v>1.4</v>
      </c>
      <c r="D28" s="392"/>
      <c r="E28" s="392"/>
      <c r="F28" s="392">
        <v>0.9</v>
      </c>
      <c r="G28" s="392">
        <v>0.5</v>
      </c>
      <c r="H28" s="392">
        <f t="shared" si="2"/>
        <v>0</v>
      </c>
      <c r="I28" s="392">
        <f t="shared" si="3"/>
        <v>30.6</v>
      </c>
      <c r="J28" s="392">
        <f t="shared" si="4"/>
        <v>33.5</v>
      </c>
      <c r="K28" s="392">
        <f t="shared" si="5"/>
        <v>0</v>
      </c>
      <c r="L28" s="392">
        <f t="shared" si="5"/>
        <v>45</v>
      </c>
      <c r="M28" s="392">
        <f t="shared" si="6"/>
        <v>17</v>
      </c>
      <c r="N28" s="392">
        <f t="shared" si="7"/>
        <v>0</v>
      </c>
      <c r="O28" s="392">
        <f t="shared" si="8"/>
        <v>25.2</v>
      </c>
      <c r="P28" s="392">
        <f t="shared" si="9"/>
        <v>5.5</v>
      </c>
      <c r="Q28" s="392">
        <f t="shared" si="10"/>
        <v>156.79999999999998</v>
      </c>
      <c r="R28" s="393">
        <f t="shared" si="11"/>
        <v>0</v>
      </c>
      <c r="S28" s="392"/>
      <c r="T28" s="392"/>
      <c r="U28" s="392"/>
      <c r="V28" s="396"/>
    </row>
    <row r="29" spans="1:22" ht="19.5" customHeight="1">
      <c r="A29" s="391">
        <v>23</v>
      </c>
      <c r="B29" s="392" t="s">
        <v>361</v>
      </c>
      <c r="C29" s="392">
        <f t="shared" si="1"/>
        <v>2</v>
      </c>
      <c r="D29" s="392"/>
      <c r="E29" s="392">
        <v>1</v>
      </c>
      <c r="F29" s="392">
        <v>0.5</v>
      </c>
      <c r="G29" s="392">
        <v>0.5</v>
      </c>
      <c r="H29" s="392">
        <f t="shared" si="2"/>
        <v>69</v>
      </c>
      <c r="I29" s="392">
        <f t="shared" si="3"/>
        <v>17</v>
      </c>
      <c r="J29" s="392">
        <f t="shared" si="4"/>
        <v>33.5</v>
      </c>
      <c r="K29" s="392">
        <f t="shared" si="5"/>
        <v>50</v>
      </c>
      <c r="L29" s="392">
        <f t="shared" si="5"/>
        <v>25</v>
      </c>
      <c r="M29" s="392">
        <f t="shared" si="6"/>
        <v>17</v>
      </c>
      <c r="N29" s="392">
        <f t="shared" si="7"/>
        <v>54</v>
      </c>
      <c r="O29" s="392">
        <f t="shared" si="8"/>
        <v>14</v>
      </c>
      <c r="P29" s="392">
        <f t="shared" si="9"/>
        <v>5.5</v>
      </c>
      <c r="Q29" s="392">
        <f t="shared" si="10"/>
        <v>285</v>
      </c>
      <c r="R29" s="393">
        <f t="shared" si="11"/>
        <v>0.6</v>
      </c>
      <c r="S29" s="395">
        <v>0.6</v>
      </c>
      <c r="T29" s="392"/>
      <c r="U29" s="392"/>
      <c r="V29" s="395">
        <v>214</v>
      </c>
    </row>
    <row r="30" spans="1:22" ht="19.5" customHeight="1">
      <c r="A30" s="391">
        <v>24</v>
      </c>
      <c r="B30" s="392" t="s">
        <v>362</v>
      </c>
      <c r="C30" s="392">
        <f t="shared" si="1"/>
        <v>4</v>
      </c>
      <c r="D30" s="392"/>
      <c r="E30" s="392">
        <f>0.35+0.039+0.271+0.15+0.14</f>
        <v>0.95</v>
      </c>
      <c r="F30" s="392">
        <v>3.05</v>
      </c>
      <c r="G30" s="392"/>
      <c r="H30" s="392">
        <f t="shared" si="2"/>
        <v>65.55</v>
      </c>
      <c r="I30" s="392">
        <f t="shared" si="3"/>
        <v>103.69999999999999</v>
      </c>
      <c r="J30" s="392">
        <f t="shared" si="4"/>
        <v>0</v>
      </c>
      <c r="K30" s="392">
        <f t="shared" si="5"/>
        <v>47.5</v>
      </c>
      <c r="L30" s="392">
        <f t="shared" si="5"/>
        <v>152.5</v>
      </c>
      <c r="M30" s="392">
        <f t="shared" si="6"/>
        <v>0</v>
      </c>
      <c r="N30" s="392">
        <f t="shared" si="7"/>
        <v>51.3</v>
      </c>
      <c r="O30" s="392">
        <f t="shared" si="8"/>
        <v>85.39999999999999</v>
      </c>
      <c r="P30" s="392">
        <f t="shared" si="9"/>
        <v>0</v>
      </c>
      <c r="Q30" s="392">
        <f t="shared" si="10"/>
        <v>505.95</v>
      </c>
      <c r="R30" s="393">
        <f t="shared" si="11"/>
        <v>0</v>
      </c>
      <c r="S30" s="392"/>
      <c r="T30" s="392"/>
      <c r="U30" s="392"/>
      <c r="V30" s="395">
        <v>289</v>
      </c>
    </row>
    <row r="31" spans="1:22" ht="19.5" customHeight="1">
      <c r="A31" s="391">
        <v>25</v>
      </c>
      <c r="B31" s="392" t="s">
        <v>363</v>
      </c>
      <c r="C31" s="397">
        <f t="shared" si="1"/>
        <v>2</v>
      </c>
      <c r="D31" s="397"/>
      <c r="E31" s="397">
        <v>1</v>
      </c>
      <c r="F31" s="397">
        <v>0.5</v>
      </c>
      <c r="G31" s="392">
        <v>0.5</v>
      </c>
      <c r="H31" s="392">
        <f t="shared" si="2"/>
        <v>69</v>
      </c>
      <c r="I31" s="392">
        <f t="shared" si="3"/>
        <v>17</v>
      </c>
      <c r="J31" s="392">
        <f t="shared" si="4"/>
        <v>33.5</v>
      </c>
      <c r="K31" s="392">
        <f t="shared" si="5"/>
        <v>50</v>
      </c>
      <c r="L31" s="392">
        <f t="shared" si="5"/>
        <v>25</v>
      </c>
      <c r="M31" s="392">
        <f t="shared" si="6"/>
        <v>17</v>
      </c>
      <c r="N31" s="392">
        <f t="shared" si="7"/>
        <v>54</v>
      </c>
      <c r="O31" s="392">
        <f t="shared" si="8"/>
        <v>14</v>
      </c>
      <c r="P31" s="392">
        <f t="shared" si="9"/>
        <v>5.5</v>
      </c>
      <c r="Q31" s="392">
        <f t="shared" si="10"/>
        <v>285</v>
      </c>
      <c r="R31" s="393">
        <f t="shared" si="11"/>
        <v>0</v>
      </c>
      <c r="S31" s="397"/>
      <c r="T31" s="397"/>
      <c r="U31" s="392"/>
      <c r="V31" s="396"/>
    </row>
    <row r="32" spans="1:22" ht="19.5" customHeight="1">
      <c r="A32" s="391">
        <v>26</v>
      </c>
      <c r="B32" s="392" t="s">
        <v>364</v>
      </c>
      <c r="C32" s="392">
        <f t="shared" si="1"/>
        <v>1.4</v>
      </c>
      <c r="D32" s="392"/>
      <c r="E32" s="392">
        <v>0.7</v>
      </c>
      <c r="F32" s="392">
        <v>0.7</v>
      </c>
      <c r="G32" s="392"/>
      <c r="H32" s="392">
        <f t="shared" si="2"/>
        <v>48.3</v>
      </c>
      <c r="I32" s="392">
        <f t="shared" si="3"/>
        <v>23.799999999999997</v>
      </c>
      <c r="J32" s="392">
        <f t="shared" si="4"/>
        <v>0</v>
      </c>
      <c r="K32" s="392">
        <f t="shared" si="5"/>
        <v>35</v>
      </c>
      <c r="L32" s="392">
        <f t="shared" si="5"/>
        <v>35</v>
      </c>
      <c r="M32" s="392">
        <f t="shared" si="6"/>
        <v>0</v>
      </c>
      <c r="N32" s="392">
        <f t="shared" si="7"/>
        <v>37.8</v>
      </c>
      <c r="O32" s="392">
        <f t="shared" si="8"/>
        <v>19.599999999999998</v>
      </c>
      <c r="P32" s="392">
        <f t="shared" si="9"/>
        <v>0</v>
      </c>
      <c r="Q32" s="392">
        <f t="shared" si="10"/>
        <v>199.49999999999997</v>
      </c>
      <c r="R32" s="393">
        <f t="shared" si="11"/>
        <v>0</v>
      </c>
      <c r="S32" s="392"/>
      <c r="T32" s="392"/>
      <c r="U32" s="392"/>
      <c r="V32" s="396"/>
    </row>
    <row r="33" spans="1:22" ht="19.5" customHeight="1">
      <c r="A33" s="391">
        <v>27</v>
      </c>
      <c r="B33" s="392" t="s">
        <v>365</v>
      </c>
      <c r="C33" s="392">
        <f t="shared" si="1"/>
        <v>2.5</v>
      </c>
      <c r="D33" s="392"/>
      <c r="E33" s="392"/>
      <c r="F33" s="392">
        <v>2</v>
      </c>
      <c r="G33" s="392">
        <v>0.5</v>
      </c>
      <c r="H33" s="392">
        <f t="shared" si="2"/>
        <v>0</v>
      </c>
      <c r="I33" s="392">
        <f t="shared" si="3"/>
        <v>68</v>
      </c>
      <c r="J33" s="392">
        <f t="shared" si="4"/>
        <v>33.5</v>
      </c>
      <c r="K33" s="392">
        <f t="shared" si="5"/>
        <v>0</v>
      </c>
      <c r="L33" s="392">
        <f t="shared" si="5"/>
        <v>100</v>
      </c>
      <c r="M33" s="392">
        <f t="shared" si="6"/>
        <v>17</v>
      </c>
      <c r="N33" s="392">
        <f t="shared" si="7"/>
        <v>0</v>
      </c>
      <c r="O33" s="392">
        <f t="shared" si="8"/>
        <v>56</v>
      </c>
      <c r="P33" s="392">
        <f t="shared" si="9"/>
        <v>5.5</v>
      </c>
      <c r="Q33" s="392">
        <f t="shared" si="10"/>
        <v>280</v>
      </c>
      <c r="R33" s="393">
        <f t="shared" si="11"/>
        <v>0</v>
      </c>
      <c r="S33" s="392"/>
      <c r="T33" s="392"/>
      <c r="U33" s="392"/>
      <c r="V33" s="396"/>
    </row>
    <row r="34" spans="1:22" ht="19.5" customHeight="1">
      <c r="A34" s="391">
        <v>28</v>
      </c>
      <c r="B34" s="392" t="s">
        <v>366</v>
      </c>
      <c r="C34" s="392">
        <f t="shared" si="1"/>
        <v>3.5</v>
      </c>
      <c r="D34" s="392"/>
      <c r="E34" s="392">
        <v>1.7</v>
      </c>
      <c r="F34" s="392">
        <v>1.8</v>
      </c>
      <c r="G34" s="398"/>
      <c r="H34" s="392">
        <f t="shared" si="2"/>
        <v>117.3</v>
      </c>
      <c r="I34" s="392">
        <f t="shared" si="3"/>
        <v>61.2</v>
      </c>
      <c r="J34" s="392">
        <f t="shared" si="4"/>
        <v>0</v>
      </c>
      <c r="K34" s="392">
        <f t="shared" si="5"/>
        <v>85</v>
      </c>
      <c r="L34" s="392">
        <f t="shared" si="5"/>
        <v>90</v>
      </c>
      <c r="M34" s="392">
        <f t="shared" si="6"/>
        <v>0</v>
      </c>
      <c r="N34" s="392">
        <f t="shared" si="7"/>
        <v>91.8</v>
      </c>
      <c r="O34" s="392">
        <f t="shared" si="8"/>
        <v>50.4</v>
      </c>
      <c r="P34" s="392">
        <f t="shared" si="9"/>
        <v>0</v>
      </c>
      <c r="Q34" s="392">
        <f t="shared" si="10"/>
        <v>495.7</v>
      </c>
      <c r="R34" s="393">
        <f t="shared" si="11"/>
        <v>0</v>
      </c>
      <c r="S34" s="392"/>
      <c r="T34" s="392"/>
      <c r="U34" s="398"/>
      <c r="V34" s="395">
        <v>24</v>
      </c>
    </row>
    <row r="35" spans="1:22" ht="19.5" customHeight="1">
      <c r="A35" s="391">
        <v>29</v>
      </c>
      <c r="B35" s="392" t="s">
        <v>367</v>
      </c>
      <c r="C35" s="392">
        <f t="shared" si="1"/>
        <v>2.5</v>
      </c>
      <c r="D35" s="392"/>
      <c r="E35" s="392"/>
      <c r="F35" s="392">
        <v>2.3</v>
      </c>
      <c r="G35" s="392">
        <v>0.2</v>
      </c>
      <c r="H35" s="392">
        <f t="shared" si="2"/>
        <v>0</v>
      </c>
      <c r="I35" s="392">
        <f t="shared" si="3"/>
        <v>78.19999999999999</v>
      </c>
      <c r="J35" s="392">
        <f t="shared" si="4"/>
        <v>13.4</v>
      </c>
      <c r="K35" s="392">
        <f t="shared" si="5"/>
        <v>0</v>
      </c>
      <c r="L35" s="392">
        <f t="shared" si="5"/>
        <v>114.99999999999999</v>
      </c>
      <c r="M35" s="392">
        <f t="shared" si="6"/>
        <v>6.800000000000001</v>
      </c>
      <c r="N35" s="392">
        <f t="shared" si="7"/>
        <v>0</v>
      </c>
      <c r="O35" s="392">
        <f t="shared" si="8"/>
        <v>64.39999999999999</v>
      </c>
      <c r="P35" s="392">
        <f t="shared" si="9"/>
        <v>2.2</v>
      </c>
      <c r="Q35" s="392">
        <f t="shared" si="10"/>
        <v>279.99999999999994</v>
      </c>
      <c r="R35" s="393">
        <f t="shared" si="11"/>
        <v>0</v>
      </c>
      <c r="S35" s="392"/>
      <c r="T35" s="392"/>
      <c r="U35" s="392"/>
      <c r="V35" s="396"/>
    </row>
    <row r="36" spans="1:22" ht="19.5" customHeight="1">
      <c r="A36" s="391">
        <v>30</v>
      </c>
      <c r="B36" s="392" t="s">
        <v>368</v>
      </c>
      <c r="C36" s="392">
        <f t="shared" si="1"/>
        <v>2.4</v>
      </c>
      <c r="D36" s="392"/>
      <c r="E36" s="392">
        <v>1.5</v>
      </c>
      <c r="F36" s="392">
        <v>0.9</v>
      </c>
      <c r="G36" s="392"/>
      <c r="H36" s="392">
        <f t="shared" si="2"/>
        <v>103.5</v>
      </c>
      <c r="I36" s="392">
        <f t="shared" si="3"/>
        <v>30.6</v>
      </c>
      <c r="J36" s="392">
        <f t="shared" si="4"/>
        <v>0</v>
      </c>
      <c r="K36" s="392">
        <f t="shared" si="5"/>
        <v>75</v>
      </c>
      <c r="L36" s="392">
        <f t="shared" si="5"/>
        <v>45</v>
      </c>
      <c r="M36" s="392">
        <f t="shared" si="6"/>
        <v>0</v>
      </c>
      <c r="N36" s="392">
        <f t="shared" si="7"/>
        <v>81</v>
      </c>
      <c r="O36" s="392">
        <f t="shared" si="8"/>
        <v>25.2</v>
      </c>
      <c r="P36" s="392">
        <f t="shared" si="9"/>
        <v>0</v>
      </c>
      <c r="Q36" s="392">
        <f t="shared" si="10"/>
        <v>360.3</v>
      </c>
      <c r="R36" s="393">
        <f t="shared" si="11"/>
        <v>0</v>
      </c>
      <c r="S36" s="392"/>
      <c r="T36" s="392"/>
      <c r="U36" s="392"/>
      <c r="V36" s="396"/>
    </row>
    <row r="37" spans="1:22" ht="19.5" customHeight="1">
      <c r="A37" s="399">
        <v>31</v>
      </c>
      <c r="B37" s="400" t="s">
        <v>369</v>
      </c>
      <c r="C37" s="400">
        <f t="shared" si="1"/>
        <v>2.4000000000000004</v>
      </c>
      <c r="D37" s="400"/>
      <c r="E37" s="400"/>
      <c r="F37" s="400">
        <v>1.6</v>
      </c>
      <c r="G37" s="400">
        <v>0.8</v>
      </c>
      <c r="H37" s="400">
        <f t="shared" si="2"/>
        <v>0</v>
      </c>
      <c r="I37" s="400">
        <f t="shared" si="3"/>
        <v>54.400000000000006</v>
      </c>
      <c r="J37" s="400">
        <f t="shared" si="4"/>
        <v>53.6</v>
      </c>
      <c r="K37" s="400">
        <f t="shared" si="5"/>
        <v>0</v>
      </c>
      <c r="L37" s="400">
        <f t="shared" si="5"/>
        <v>80</v>
      </c>
      <c r="M37" s="400">
        <f t="shared" si="6"/>
        <v>27.200000000000003</v>
      </c>
      <c r="N37" s="400">
        <f t="shared" si="7"/>
        <v>0</v>
      </c>
      <c r="O37" s="400">
        <f t="shared" si="8"/>
        <v>44.800000000000004</v>
      </c>
      <c r="P37" s="400">
        <f t="shared" si="9"/>
        <v>8.8</v>
      </c>
      <c r="Q37" s="400">
        <f t="shared" si="10"/>
        <v>268.8</v>
      </c>
      <c r="R37" s="401">
        <f>SUM(R7:R36)</f>
        <v>5.76</v>
      </c>
      <c r="S37" s="401">
        <f>SUM(S7:S36)</f>
        <v>1</v>
      </c>
      <c r="T37" s="401">
        <f>SUM(T7:T36)</f>
        <v>4.36</v>
      </c>
      <c r="U37" s="401">
        <f>SUM(U7:U36)</f>
        <v>0.4</v>
      </c>
      <c r="V37" s="402">
        <f>SUM(V6:V36)</f>
        <v>2351</v>
      </c>
    </row>
    <row r="39" spans="12:16" ht="15.75">
      <c r="L39" s="719" t="s">
        <v>370</v>
      </c>
      <c r="M39" s="719"/>
      <c r="N39" s="719"/>
      <c r="O39" s="719"/>
      <c r="P39" s="71"/>
    </row>
  </sheetData>
  <sheetProtection/>
  <mergeCells count="21">
    <mergeCell ref="C3:G3"/>
    <mergeCell ref="H4:J4"/>
    <mergeCell ref="U4:U5"/>
    <mergeCell ref="K4:M4"/>
    <mergeCell ref="L39:O39"/>
    <mergeCell ref="A1:G1"/>
    <mergeCell ref="H1:V1"/>
    <mergeCell ref="R3:U3"/>
    <mergeCell ref="V3:V5"/>
    <mergeCell ref="C4:C5"/>
    <mergeCell ref="B3:B5"/>
    <mergeCell ref="Q3:Q5"/>
    <mergeCell ref="H3:P3"/>
    <mergeCell ref="E4:E5"/>
    <mergeCell ref="A3:A5"/>
    <mergeCell ref="S4:S5"/>
    <mergeCell ref="T4:T5"/>
    <mergeCell ref="F4:F5"/>
    <mergeCell ref="N4:P4"/>
    <mergeCell ref="R4:R5"/>
    <mergeCell ref="G4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0">
      <selection activeCell="P36" sqref="P36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7" t="s">
        <v>192</v>
      </c>
      <c r="C1" s="797"/>
      <c r="D1" s="797"/>
      <c r="E1" s="797"/>
      <c r="F1" s="797"/>
      <c r="G1" s="797"/>
      <c r="H1" s="797"/>
      <c r="I1" s="797"/>
      <c r="K1" s="797" t="s">
        <v>1</v>
      </c>
      <c r="L1" s="797"/>
      <c r="M1" s="797"/>
      <c r="N1" s="797"/>
      <c r="O1" s="797"/>
    </row>
    <row r="2" spans="1:15" s="443" customFormat="1" ht="15.75">
      <c r="A2" s="442"/>
      <c r="B2" s="797" t="s">
        <v>373</v>
      </c>
      <c r="C2" s="797"/>
      <c r="D2" s="797"/>
      <c r="E2" s="797"/>
      <c r="F2" s="797"/>
      <c r="G2" s="797"/>
      <c r="H2" s="797"/>
      <c r="I2" s="797"/>
      <c r="K2" s="798" t="s">
        <v>101</v>
      </c>
      <c r="L2" s="798"/>
      <c r="M2" s="798"/>
      <c r="N2" s="798"/>
      <c r="O2" s="798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32.25" customHeight="1">
      <c r="A4" s="799" t="s">
        <v>5</v>
      </c>
      <c r="B4" s="795" t="s">
        <v>102</v>
      </c>
      <c r="C4" s="799" t="s">
        <v>374</v>
      </c>
      <c r="D4" s="799"/>
      <c r="E4" s="799"/>
      <c r="F4" s="799"/>
      <c r="G4" s="799"/>
      <c r="H4" s="799"/>
      <c r="I4" s="795" t="s">
        <v>375</v>
      </c>
      <c r="J4" s="799" t="s">
        <v>462</v>
      </c>
      <c r="K4" s="799"/>
      <c r="L4" s="799"/>
      <c r="M4" s="799"/>
      <c r="N4" s="799"/>
      <c r="O4" s="799"/>
      <c r="P4" s="795" t="s">
        <v>107</v>
      </c>
    </row>
    <row r="5" spans="1:16" ht="118.5" customHeight="1">
      <c r="A5" s="800"/>
      <c r="B5" s="796"/>
      <c r="C5" s="547" t="s">
        <v>376</v>
      </c>
      <c r="D5" s="547" t="s">
        <v>268</v>
      </c>
      <c r="E5" s="547" t="s">
        <v>377</v>
      </c>
      <c r="F5" s="547" t="s">
        <v>14</v>
      </c>
      <c r="G5" s="547" t="s">
        <v>378</v>
      </c>
      <c r="H5" s="547" t="s">
        <v>379</v>
      </c>
      <c r="I5" s="796"/>
      <c r="J5" s="547" t="s">
        <v>376</v>
      </c>
      <c r="K5" s="547" t="s">
        <v>268</v>
      </c>
      <c r="L5" s="547" t="s">
        <v>377</v>
      </c>
      <c r="M5" s="547" t="s">
        <v>14</v>
      </c>
      <c r="N5" s="547" t="s">
        <v>378</v>
      </c>
      <c r="O5" s="547" t="s">
        <v>379</v>
      </c>
      <c r="P5" s="796"/>
    </row>
    <row r="6" spans="1:16" s="467" customFormat="1" ht="19.5" customHeight="1">
      <c r="A6" s="540">
        <v>1</v>
      </c>
      <c r="B6" s="541" t="s">
        <v>402</v>
      </c>
      <c r="C6" s="542">
        <f aca="true" t="shared" si="0" ref="C6:C35">SUM(D6:H6)</f>
        <v>2.549</v>
      </c>
      <c r="D6" s="543"/>
      <c r="E6" s="543">
        <v>1.758</v>
      </c>
      <c r="F6" s="543">
        <v>0.791</v>
      </c>
      <c r="G6" s="543"/>
      <c r="H6" s="543"/>
      <c r="I6" s="544">
        <v>392.57484</v>
      </c>
      <c r="J6" s="545">
        <f aca="true" t="shared" si="1" ref="J6:J35">+SUM(K6:O6)</f>
        <v>0.735</v>
      </c>
      <c r="K6" s="623"/>
      <c r="L6" s="624">
        <v>0.472</v>
      </c>
      <c r="M6" s="624">
        <v>0.263</v>
      </c>
      <c r="N6" s="623"/>
      <c r="O6" s="546"/>
      <c r="P6" s="548">
        <v>74.44</v>
      </c>
    </row>
    <row r="7" spans="1:16" s="458" customFormat="1" ht="19.5" customHeight="1">
      <c r="A7" s="459">
        <v>2</v>
      </c>
      <c r="B7" s="460" t="s">
        <v>394</v>
      </c>
      <c r="C7" s="447">
        <f t="shared" si="0"/>
        <v>6.26</v>
      </c>
      <c r="D7" s="448">
        <v>2.44</v>
      </c>
      <c r="E7" s="448">
        <v>0.9</v>
      </c>
      <c r="F7" s="448">
        <v>1.42</v>
      </c>
      <c r="G7" s="448">
        <v>1.5</v>
      </c>
      <c r="H7" s="448"/>
      <c r="I7" s="449">
        <v>956.9531999999999</v>
      </c>
      <c r="J7" s="450">
        <f t="shared" si="1"/>
        <v>1.2</v>
      </c>
      <c r="K7" s="625"/>
      <c r="L7" s="625"/>
      <c r="M7" s="626">
        <v>1.2</v>
      </c>
      <c r="N7" s="625"/>
      <c r="O7" s="461"/>
      <c r="P7" s="549">
        <v>115</v>
      </c>
    </row>
    <row r="8" spans="1:16" s="458" customFormat="1" ht="19.5" customHeight="1">
      <c r="A8" s="459">
        <v>3</v>
      </c>
      <c r="B8" s="460" t="s">
        <v>400</v>
      </c>
      <c r="C8" s="447">
        <f t="shared" si="0"/>
        <v>3.075</v>
      </c>
      <c r="D8" s="448"/>
      <c r="E8" s="448"/>
      <c r="F8" s="448">
        <f>3.955+0.12-1</f>
        <v>3.075</v>
      </c>
      <c r="G8" s="448"/>
      <c r="H8" s="448"/>
      <c r="I8" s="449">
        <v>343.53900000000004</v>
      </c>
      <c r="J8" s="450">
        <f t="shared" si="1"/>
        <v>1.9</v>
      </c>
      <c r="K8" s="627"/>
      <c r="L8" s="628"/>
      <c r="M8" s="629">
        <v>1.9</v>
      </c>
      <c r="N8" s="628"/>
      <c r="O8" s="461"/>
      <c r="P8" s="550">
        <v>8.439999999999998</v>
      </c>
    </row>
    <row r="9" spans="1:16" ht="19.5" customHeight="1">
      <c r="A9" s="459">
        <v>4</v>
      </c>
      <c r="B9" s="460" t="s">
        <v>385</v>
      </c>
      <c r="C9" s="447">
        <f t="shared" si="0"/>
        <v>3.0490000000000004</v>
      </c>
      <c r="D9" s="448"/>
      <c r="E9" s="448">
        <v>0.055</v>
      </c>
      <c r="F9" s="448">
        <v>2.994</v>
      </c>
      <c r="G9" s="448"/>
      <c r="H9" s="448"/>
      <c r="I9" s="449">
        <v>344.00688</v>
      </c>
      <c r="J9" s="450">
        <f t="shared" si="1"/>
        <v>0.44</v>
      </c>
      <c r="K9" s="625"/>
      <c r="L9" s="625"/>
      <c r="M9" s="625">
        <v>0.44</v>
      </c>
      <c r="N9" s="625"/>
      <c r="O9" s="461"/>
      <c r="P9" s="550">
        <v>174.44</v>
      </c>
    </row>
    <row r="10" spans="1:16" s="463" customFormat="1" ht="19.5" customHeight="1">
      <c r="A10" s="459">
        <v>5</v>
      </c>
      <c r="B10" s="446" t="s">
        <v>387</v>
      </c>
      <c r="C10" s="447">
        <f t="shared" si="0"/>
        <v>6.282</v>
      </c>
      <c r="D10" s="448"/>
      <c r="E10" s="448">
        <f>4.372-1</f>
        <v>3.372</v>
      </c>
      <c r="F10" s="448">
        <f>3.91-1</f>
        <v>2.91</v>
      </c>
      <c r="G10" s="448"/>
      <c r="H10" s="448"/>
      <c r="I10" s="449">
        <v>908.59608</v>
      </c>
      <c r="J10" s="450">
        <f t="shared" si="1"/>
        <v>1.5</v>
      </c>
      <c r="K10" s="625"/>
      <c r="L10" s="625"/>
      <c r="M10" s="625">
        <v>1.5</v>
      </c>
      <c r="N10" s="625"/>
      <c r="O10" s="461"/>
      <c r="P10" s="550">
        <v>40.44</v>
      </c>
    </row>
    <row r="11" spans="1:16" s="458" customFormat="1" ht="19.5" customHeight="1">
      <c r="A11" s="459">
        <v>6</v>
      </c>
      <c r="B11" s="452" t="s">
        <v>403</v>
      </c>
      <c r="C11" s="453">
        <f t="shared" si="0"/>
        <v>3.3280000000000003</v>
      </c>
      <c r="D11" s="454"/>
      <c r="E11" s="454">
        <v>0.28</v>
      </c>
      <c r="F11" s="454">
        <v>1.723</v>
      </c>
      <c r="G11" s="454">
        <v>1.325</v>
      </c>
      <c r="H11" s="454"/>
      <c r="I11" s="456">
        <v>388.97375999999997</v>
      </c>
      <c r="J11" s="450">
        <f t="shared" si="1"/>
        <v>2.2</v>
      </c>
      <c r="K11" s="628"/>
      <c r="L11" s="628">
        <v>0.33</v>
      </c>
      <c r="M11" s="628">
        <v>1.87</v>
      </c>
      <c r="N11" s="628"/>
      <c r="O11" s="461"/>
      <c r="P11" s="550"/>
    </row>
    <row r="12" spans="1:16" s="458" customFormat="1" ht="19.5" customHeight="1">
      <c r="A12" s="459">
        <v>7</v>
      </c>
      <c r="B12" s="460" t="s">
        <v>407</v>
      </c>
      <c r="C12" s="447">
        <f t="shared" si="0"/>
        <v>4.002</v>
      </c>
      <c r="D12" s="448"/>
      <c r="E12" s="448">
        <v>0.509</v>
      </c>
      <c r="F12" s="448">
        <f>3.122-1</f>
        <v>2.122</v>
      </c>
      <c r="G12" s="448">
        <v>1.371</v>
      </c>
      <c r="H12" s="448"/>
      <c r="I12" s="449">
        <v>478.31532</v>
      </c>
      <c r="J12" s="450">
        <f t="shared" si="1"/>
        <v>1</v>
      </c>
      <c r="K12" s="625"/>
      <c r="L12" s="625"/>
      <c r="M12" s="625">
        <v>0.8</v>
      </c>
      <c r="N12" s="625">
        <v>0.2</v>
      </c>
      <c r="O12" s="461"/>
      <c r="P12" s="550">
        <v>66.44</v>
      </c>
    </row>
    <row r="13" spans="1:16" s="458" customFormat="1" ht="19.5" customHeight="1">
      <c r="A13" s="459">
        <v>8</v>
      </c>
      <c r="B13" s="460" t="s">
        <v>383</v>
      </c>
      <c r="C13" s="447">
        <f t="shared" si="0"/>
        <v>3.04</v>
      </c>
      <c r="D13" s="448"/>
      <c r="E13" s="448"/>
      <c r="F13" s="448">
        <v>3.04</v>
      </c>
      <c r="G13" s="448"/>
      <c r="H13" s="448"/>
      <c r="I13" s="449">
        <v>339.6288</v>
      </c>
      <c r="J13" s="450">
        <f t="shared" si="1"/>
        <v>0.34</v>
      </c>
      <c r="K13" s="625"/>
      <c r="L13" s="625"/>
      <c r="M13" s="625">
        <v>0.34</v>
      </c>
      <c r="N13" s="625"/>
      <c r="O13" s="457"/>
      <c r="P13" s="550">
        <v>141.44</v>
      </c>
    </row>
    <row r="14" spans="1:16" ht="19.5" customHeight="1">
      <c r="A14" s="459">
        <v>9</v>
      </c>
      <c r="B14" s="460" t="s">
        <v>406</v>
      </c>
      <c r="C14" s="447">
        <f t="shared" si="0"/>
        <v>2.42</v>
      </c>
      <c r="D14" s="448"/>
      <c r="E14" s="448"/>
      <c r="F14" s="448">
        <v>0.92</v>
      </c>
      <c r="G14" s="448">
        <v>1.5</v>
      </c>
      <c r="H14" s="448"/>
      <c r="I14" s="449">
        <v>270.3624</v>
      </c>
      <c r="J14" s="450">
        <f t="shared" si="1"/>
        <v>0.875</v>
      </c>
      <c r="K14" s="625"/>
      <c r="L14" s="625"/>
      <c r="M14" s="626">
        <v>0.065</v>
      </c>
      <c r="N14" s="625">
        <v>0.81</v>
      </c>
      <c r="O14" s="461"/>
      <c r="P14" s="550">
        <v>124.44</v>
      </c>
    </row>
    <row r="15" spans="1:16" s="458" customFormat="1" ht="19.5" customHeight="1">
      <c r="A15" s="459">
        <v>10</v>
      </c>
      <c r="B15" s="460" t="s">
        <v>404</v>
      </c>
      <c r="C15" s="447">
        <f t="shared" si="0"/>
        <v>3.592</v>
      </c>
      <c r="D15" s="448"/>
      <c r="E15" s="448"/>
      <c r="F15" s="448">
        <v>1.38</v>
      </c>
      <c r="G15" s="448">
        <v>2.212</v>
      </c>
      <c r="H15" s="448"/>
      <c r="I15" s="449">
        <v>401.29824</v>
      </c>
      <c r="J15" s="450">
        <f t="shared" si="1"/>
        <v>0.25</v>
      </c>
      <c r="K15" s="625"/>
      <c r="L15" s="625">
        <v>0.08</v>
      </c>
      <c r="M15" s="625">
        <v>0.17</v>
      </c>
      <c r="N15" s="625"/>
      <c r="O15" s="457"/>
      <c r="P15" s="550">
        <v>190.44</v>
      </c>
    </row>
    <row r="16" spans="1:16" ht="19.5" customHeight="1">
      <c r="A16" s="459">
        <v>11</v>
      </c>
      <c r="B16" s="460" t="s">
        <v>396</v>
      </c>
      <c r="C16" s="447">
        <f t="shared" si="0"/>
        <v>3.07</v>
      </c>
      <c r="D16" s="448"/>
      <c r="E16" s="448"/>
      <c r="F16" s="448">
        <v>3.07</v>
      </c>
      <c r="G16" s="448"/>
      <c r="H16" s="448"/>
      <c r="I16" s="449">
        <v>342.9804</v>
      </c>
      <c r="J16" s="450">
        <f t="shared" si="1"/>
        <v>0.8</v>
      </c>
      <c r="K16" s="625"/>
      <c r="L16" s="625"/>
      <c r="M16" s="625">
        <v>0.8</v>
      </c>
      <c r="N16" s="625"/>
      <c r="O16" s="461"/>
      <c r="P16" s="550">
        <v>134.44</v>
      </c>
    </row>
    <row r="17" spans="1:16" ht="19.5" customHeight="1">
      <c r="A17" s="459">
        <v>12</v>
      </c>
      <c r="B17" s="460" t="s">
        <v>395</v>
      </c>
      <c r="C17" s="447">
        <f t="shared" si="0"/>
        <v>2.802</v>
      </c>
      <c r="D17" s="448"/>
      <c r="E17" s="448"/>
      <c r="F17" s="448">
        <v>2.802</v>
      </c>
      <c r="G17" s="448"/>
      <c r="H17" s="448"/>
      <c r="I17" s="449">
        <v>313.03944</v>
      </c>
      <c r="J17" s="450">
        <f t="shared" si="1"/>
        <v>1.57</v>
      </c>
      <c r="K17" s="625"/>
      <c r="L17" s="625"/>
      <c r="M17" s="625">
        <f>1.4+0.1+0.07</f>
        <v>1.57</v>
      </c>
      <c r="N17" s="625"/>
      <c r="O17" s="461"/>
      <c r="P17" s="550"/>
    </row>
    <row r="18" spans="1:16" ht="19.5" customHeight="1">
      <c r="A18" s="459">
        <v>13</v>
      </c>
      <c r="B18" s="460" t="s">
        <v>384</v>
      </c>
      <c r="C18" s="447">
        <f t="shared" si="0"/>
        <v>3.57</v>
      </c>
      <c r="D18" s="448"/>
      <c r="E18" s="448"/>
      <c r="F18" s="448">
        <v>3.57</v>
      </c>
      <c r="G18" s="448"/>
      <c r="H18" s="448"/>
      <c r="I18" s="449">
        <v>398.8404</v>
      </c>
      <c r="J18" s="450">
        <f t="shared" si="1"/>
        <v>0.7</v>
      </c>
      <c r="K18" s="625"/>
      <c r="L18" s="625"/>
      <c r="M18" s="625">
        <v>0.7</v>
      </c>
      <c r="N18" s="625"/>
      <c r="O18" s="461"/>
      <c r="P18" s="550">
        <v>131.44</v>
      </c>
    </row>
    <row r="19" spans="1:16" ht="19.5" customHeight="1">
      <c r="A19" s="459">
        <v>14</v>
      </c>
      <c r="B19" s="460" t="s">
        <v>405</v>
      </c>
      <c r="C19" s="447">
        <f t="shared" si="0"/>
        <v>2.5469999999999997</v>
      </c>
      <c r="D19" s="448"/>
      <c r="E19" s="448">
        <v>0.12</v>
      </c>
      <c r="F19" s="448">
        <v>1.357</v>
      </c>
      <c r="G19" s="448">
        <v>1.07</v>
      </c>
      <c r="H19" s="448"/>
      <c r="I19" s="449">
        <v>291.90924</v>
      </c>
      <c r="J19" s="450">
        <f t="shared" si="1"/>
        <v>1.01</v>
      </c>
      <c r="K19" s="461">
        <v>0.15</v>
      </c>
      <c r="L19" s="461">
        <v>0.12</v>
      </c>
      <c r="M19" s="461">
        <v>0.48</v>
      </c>
      <c r="N19" s="461">
        <v>0.26</v>
      </c>
      <c r="O19" s="461"/>
      <c r="P19" s="550">
        <v>14.439999999999998</v>
      </c>
    </row>
    <row r="20" spans="1:16" s="458" customFormat="1" ht="19.5" customHeight="1">
      <c r="A20" s="459">
        <v>15</v>
      </c>
      <c r="B20" s="452" t="s">
        <v>381</v>
      </c>
      <c r="C20" s="453">
        <f t="shared" si="0"/>
        <v>2.7</v>
      </c>
      <c r="D20" s="454"/>
      <c r="E20" s="454"/>
      <c r="F20" s="455">
        <f>2.7-0.07</f>
        <v>2.6300000000000003</v>
      </c>
      <c r="G20" s="454"/>
      <c r="H20" s="454">
        <v>0.07</v>
      </c>
      <c r="I20" s="456">
        <v>302.76120000000003</v>
      </c>
      <c r="J20" s="450">
        <f t="shared" si="1"/>
        <v>0.5700000000000001</v>
      </c>
      <c r="K20" s="628"/>
      <c r="L20" s="628"/>
      <c r="M20" s="628">
        <f>0.12+0.45</f>
        <v>0.5700000000000001</v>
      </c>
      <c r="N20" s="628"/>
      <c r="O20" s="457"/>
      <c r="P20" s="550">
        <v>150.44</v>
      </c>
    </row>
    <row r="21" spans="1:16" s="458" customFormat="1" ht="19.5" customHeight="1">
      <c r="A21" s="459">
        <v>16</v>
      </c>
      <c r="B21" s="452" t="s">
        <v>386</v>
      </c>
      <c r="C21" s="453">
        <f t="shared" si="0"/>
        <v>2.495</v>
      </c>
      <c r="D21" s="454"/>
      <c r="E21" s="454">
        <v>0.282</v>
      </c>
      <c r="F21" s="454">
        <f>0.523+1.69</f>
        <v>2.213</v>
      </c>
      <c r="G21" s="454"/>
      <c r="H21" s="454"/>
      <c r="I21" s="456">
        <v>296.03364</v>
      </c>
      <c r="J21" s="450">
        <f t="shared" si="1"/>
        <v>0.37</v>
      </c>
      <c r="K21" s="625"/>
      <c r="L21" s="625"/>
      <c r="M21" s="625">
        <v>0.37</v>
      </c>
      <c r="N21" s="625"/>
      <c r="O21" s="461"/>
      <c r="P21" s="550">
        <v>130</v>
      </c>
    </row>
    <row r="22" spans="1:16" ht="19.5" customHeight="1">
      <c r="A22" s="459">
        <v>17</v>
      </c>
      <c r="B22" s="460" t="s">
        <v>389</v>
      </c>
      <c r="C22" s="447">
        <f t="shared" si="0"/>
        <v>2.539</v>
      </c>
      <c r="D22" s="448"/>
      <c r="E22" s="448">
        <v>1.877</v>
      </c>
      <c r="F22" s="448">
        <v>0.662</v>
      </c>
      <c r="G22" s="448"/>
      <c r="H22" s="448"/>
      <c r="I22" s="449">
        <v>398.75471999999996</v>
      </c>
      <c r="J22" s="450">
        <f t="shared" si="1"/>
        <v>0.725</v>
      </c>
      <c r="K22" s="625"/>
      <c r="L22" s="625">
        <v>0.635</v>
      </c>
      <c r="M22" s="625">
        <v>0.09</v>
      </c>
      <c r="N22" s="625"/>
      <c r="O22" s="461"/>
      <c r="P22" s="550">
        <v>103.44</v>
      </c>
    </row>
    <row r="23" spans="1:16" ht="19.5" customHeight="1">
      <c r="A23" s="459">
        <v>18</v>
      </c>
      <c r="B23" s="460" t="s">
        <v>390</v>
      </c>
      <c r="C23" s="447">
        <f t="shared" si="0"/>
        <v>2.63</v>
      </c>
      <c r="D23" s="448"/>
      <c r="E23" s="448">
        <v>0.72</v>
      </c>
      <c r="F23" s="448">
        <v>0.91</v>
      </c>
      <c r="G23" s="448"/>
      <c r="H23" s="448">
        <v>1</v>
      </c>
      <c r="I23" s="449">
        <v>353.93399999999997</v>
      </c>
      <c r="J23" s="450">
        <f t="shared" si="1"/>
        <v>0.66</v>
      </c>
      <c r="K23" s="625"/>
      <c r="L23" s="625"/>
      <c r="M23" s="625">
        <v>0.66</v>
      </c>
      <c r="N23" s="625"/>
      <c r="O23" s="461"/>
      <c r="P23" s="550">
        <v>120</v>
      </c>
    </row>
    <row r="24" spans="1:16" s="458" customFormat="1" ht="19.5" customHeight="1">
      <c r="A24" s="459">
        <v>19</v>
      </c>
      <c r="B24" s="460" t="s">
        <v>391</v>
      </c>
      <c r="C24" s="447">
        <f t="shared" si="0"/>
        <v>4.79</v>
      </c>
      <c r="D24" s="448"/>
      <c r="E24" s="448">
        <v>1.75</v>
      </c>
      <c r="F24" s="448">
        <f>4.34-1.5</f>
        <v>2.84</v>
      </c>
      <c r="G24" s="448"/>
      <c r="H24" s="448">
        <v>0.2</v>
      </c>
      <c r="I24" s="449">
        <v>645.6407999999999</v>
      </c>
      <c r="J24" s="450">
        <f t="shared" si="1"/>
        <v>0.98</v>
      </c>
      <c r="K24" s="625"/>
      <c r="L24" s="625"/>
      <c r="M24" s="625">
        <v>0.98</v>
      </c>
      <c r="N24" s="625"/>
      <c r="O24" s="461"/>
      <c r="P24" s="550">
        <v>99.44</v>
      </c>
    </row>
    <row r="25" spans="1:16" s="465" customFormat="1" ht="19.5" customHeight="1">
      <c r="A25" s="459">
        <v>20</v>
      </c>
      <c r="B25" s="446" t="s">
        <v>392</v>
      </c>
      <c r="C25" s="447">
        <f t="shared" si="0"/>
        <v>6.58</v>
      </c>
      <c r="D25" s="448"/>
      <c r="E25" s="448">
        <v>2.5</v>
      </c>
      <c r="F25" s="448">
        <f>6.08-2</f>
        <v>4.08</v>
      </c>
      <c r="G25" s="448"/>
      <c r="H25" s="448"/>
      <c r="I25" s="449">
        <v>888.4176</v>
      </c>
      <c r="J25" s="450">
        <f t="shared" si="1"/>
        <v>1.087</v>
      </c>
      <c r="K25" s="630"/>
      <c r="L25" s="630">
        <v>0.48</v>
      </c>
      <c r="M25" s="631">
        <v>0.607</v>
      </c>
      <c r="N25" s="630"/>
      <c r="O25" s="464"/>
      <c r="P25" s="550">
        <v>72.44</v>
      </c>
    </row>
    <row r="26" spans="1:16" ht="19.5" customHeight="1">
      <c r="A26" s="459">
        <v>21</v>
      </c>
      <c r="B26" s="460" t="s">
        <v>382</v>
      </c>
      <c r="C26" s="447">
        <f t="shared" si="0"/>
        <v>4</v>
      </c>
      <c r="D26" s="448"/>
      <c r="E26" s="448">
        <v>0.87</v>
      </c>
      <c r="F26" s="448">
        <v>1.1</v>
      </c>
      <c r="G26" s="448">
        <v>2.03</v>
      </c>
      <c r="H26" s="448"/>
      <c r="I26" s="449">
        <v>500.22839999999997</v>
      </c>
      <c r="J26" s="450">
        <f t="shared" si="1"/>
        <v>1.9</v>
      </c>
      <c r="K26" s="628"/>
      <c r="L26" s="628"/>
      <c r="M26" s="628">
        <v>1.9</v>
      </c>
      <c r="N26" s="628"/>
      <c r="O26" s="461"/>
      <c r="P26" s="550">
        <v>40</v>
      </c>
    </row>
    <row r="27" spans="1:16" ht="19.5" customHeight="1">
      <c r="A27" s="459">
        <v>22</v>
      </c>
      <c r="B27" s="460" t="s">
        <v>398</v>
      </c>
      <c r="C27" s="447">
        <f t="shared" si="0"/>
        <v>3.7520000000000002</v>
      </c>
      <c r="D27" s="448"/>
      <c r="E27" s="448">
        <v>0.35</v>
      </c>
      <c r="F27" s="448">
        <f>3.802-0.4</f>
        <v>3.402</v>
      </c>
      <c r="G27" s="448"/>
      <c r="H27" s="448"/>
      <c r="I27" s="449">
        <v>440.63544</v>
      </c>
      <c r="J27" s="450">
        <f t="shared" si="1"/>
        <v>1.6</v>
      </c>
      <c r="K27" s="625"/>
      <c r="L27" s="625"/>
      <c r="M27" s="625">
        <v>1.6</v>
      </c>
      <c r="N27" s="625"/>
      <c r="O27" s="461"/>
      <c r="P27" s="550">
        <v>28.439999999999998</v>
      </c>
    </row>
    <row r="28" spans="1:16" ht="19.5" customHeight="1">
      <c r="A28" s="459">
        <v>23</v>
      </c>
      <c r="B28" s="460" t="s">
        <v>388</v>
      </c>
      <c r="C28" s="447">
        <f t="shared" si="0"/>
        <v>3.06</v>
      </c>
      <c r="D28" s="448"/>
      <c r="E28" s="448">
        <v>0.5</v>
      </c>
      <c r="F28" s="448">
        <v>1.56</v>
      </c>
      <c r="G28" s="448">
        <v>1</v>
      </c>
      <c r="H28" s="448"/>
      <c r="I28" s="449">
        <v>372.5232</v>
      </c>
      <c r="J28" s="450">
        <f t="shared" si="1"/>
        <v>0.5</v>
      </c>
      <c r="K28" s="625"/>
      <c r="L28" s="625"/>
      <c r="M28" s="625">
        <v>0.5</v>
      </c>
      <c r="N28" s="625"/>
      <c r="O28" s="295"/>
      <c r="P28" s="550">
        <v>90</v>
      </c>
    </row>
    <row r="29" spans="1:16" ht="19.5" customHeight="1">
      <c r="A29" s="459">
        <v>24</v>
      </c>
      <c r="B29" s="460" t="s">
        <v>399</v>
      </c>
      <c r="C29" s="447">
        <f t="shared" si="0"/>
        <v>1.5</v>
      </c>
      <c r="D29" s="448"/>
      <c r="E29" s="448"/>
      <c r="F29" s="448">
        <v>1.5</v>
      </c>
      <c r="G29" s="448"/>
      <c r="H29" s="448"/>
      <c r="I29" s="449">
        <v>167.57999999999998</v>
      </c>
      <c r="J29" s="450">
        <f t="shared" si="1"/>
        <v>0.1</v>
      </c>
      <c r="K29" s="461"/>
      <c r="L29" s="461"/>
      <c r="M29" s="461">
        <v>0.1</v>
      </c>
      <c r="N29" s="461"/>
      <c r="O29" s="295"/>
      <c r="P29" s="550">
        <v>100</v>
      </c>
    </row>
    <row r="30" spans="1:16" ht="19.5" customHeight="1">
      <c r="A30" s="459">
        <v>25</v>
      </c>
      <c r="B30" s="460" t="s">
        <v>401</v>
      </c>
      <c r="C30" s="466">
        <f t="shared" si="0"/>
        <v>3.7750000000000004</v>
      </c>
      <c r="D30" s="448"/>
      <c r="E30" s="448">
        <f>1.35</f>
        <v>1.35</v>
      </c>
      <c r="F30" s="448">
        <v>1.725</v>
      </c>
      <c r="G30" s="448">
        <v>0.7</v>
      </c>
      <c r="H30" s="448"/>
      <c r="I30" s="449">
        <v>504.52500000000003</v>
      </c>
      <c r="J30" s="450">
        <f t="shared" si="1"/>
        <v>0</v>
      </c>
      <c r="K30" s="628"/>
      <c r="L30" s="628"/>
      <c r="M30" s="628"/>
      <c r="N30" s="628"/>
      <c r="O30" s="295"/>
      <c r="P30" s="550">
        <v>110</v>
      </c>
    </row>
    <row r="31" spans="1:16" s="458" customFormat="1" ht="19.5" customHeight="1">
      <c r="A31" s="459">
        <v>26</v>
      </c>
      <c r="B31" s="460" t="s">
        <v>393</v>
      </c>
      <c r="C31" s="447">
        <f t="shared" si="0"/>
        <v>2.8200000000000003</v>
      </c>
      <c r="D31" s="448">
        <v>0.65</v>
      </c>
      <c r="E31" s="448">
        <v>0.4</v>
      </c>
      <c r="F31" s="448">
        <v>1.77</v>
      </c>
      <c r="G31" s="448"/>
      <c r="H31" s="448"/>
      <c r="I31" s="449">
        <v>393.4959</v>
      </c>
      <c r="J31" s="450">
        <f t="shared" si="1"/>
        <v>0</v>
      </c>
      <c r="K31" s="461"/>
      <c r="L31" s="461"/>
      <c r="M31" s="461"/>
      <c r="N31" s="461"/>
      <c r="O31" s="457"/>
      <c r="P31" s="550">
        <v>110</v>
      </c>
    </row>
    <row r="32" spans="1:16" ht="19.5" customHeight="1">
      <c r="A32" s="459">
        <v>27</v>
      </c>
      <c r="B32" s="446" t="s">
        <v>380</v>
      </c>
      <c r="C32" s="447">
        <f t="shared" si="0"/>
        <v>2.408</v>
      </c>
      <c r="D32" s="448"/>
      <c r="E32" s="448">
        <v>0.3</v>
      </c>
      <c r="F32" s="448">
        <v>1.908</v>
      </c>
      <c r="G32" s="448">
        <v>0.2</v>
      </c>
      <c r="H32" s="448"/>
      <c r="I32" s="449">
        <v>287.41776</v>
      </c>
      <c r="J32" s="450">
        <f t="shared" si="1"/>
        <v>0</v>
      </c>
      <c r="K32" s="628"/>
      <c r="L32" s="628"/>
      <c r="M32" s="628"/>
      <c r="N32" s="628"/>
      <c r="O32" s="295"/>
      <c r="P32" s="550">
        <v>110</v>
      </c>
    </row>
    <row r="33" spans="1:16" s="458" customFormat="1" ht="19.5" customHeight="1">
      <c r="A33" s="459">
        <v>28</v>
      </c>
      <c r="B33" s="452" t="s">
        <v>397</v>
      </c>
      <c r="C33" s="453">
        <f t="shared" si="0"/>
        <v>2.6999999999999997</v>
      </c>
      <c r="D33" s="454"/>
      <c r="E33" s="454"/>
      <c r="F33" s="454">
        <f>1.73+0.7</f>
        <v>2.4299999999999997</v>
      </c>
      <c r="G33" s="454">
        <v>0.27</v>
      </c>
      <c r="H33" s="454"/>
      <c r="I33" s="456">
        <v>301.64399999999995</v>
      </c>
      <c r="J33" s="450">
        <f t="shared" si="1"/>
        <v>1.2</v>
      </c>
      <c r="K33" s="461"/>
      <c r="L33" s="461"/>
      <c r="M33" s="461">
        <v>1.2</v>
      </c>
      <c r="N33" s="461"/>
      <c r="O33" s="457"/>
      <c r="P33" s="550">
        <v>110</v>
      </c>
    </row>
    <row r="34" spans="1:16" ht="19.5" customHeight="1">
      <c r="A34" s="459">
        <v>29</v>
      </c>
      <c r="B34" s="460" t="s">
        <v>408</v>
      </c>
      <c r="C34" s="447">
        <f t="shared" si="0"/>
        <v>2.7</v>
      </c>
      <c r="D34" s="448"/>
      <c r="E34" s="448"/>
      <c r="F34" s="448">
        <v>2.7</v>
      </c>
      <c r="G34" s="448"/>
      <c r="H34" s="448"/>
      <c r="I34" s="449">
        <v>301.644</v>
      </c>
      <c r="J34" s="450">
        <f t="shared" si="1"/>
        <v>0.1</v>
      </c>
      <c r="K34" s="628"/>
      <c r="L34" s="628"/>
      <c r="M34" s="628">
        <v>0.1</v>
      </c>
      <c r="N34" s="628"/>
      <c r="O34" s="295"/>
      <c r="P34" s="550">
        <v>110</v>
      </c>
    </row>
    <row r="35" spans="1:16" s="458" customFormat="1" ht="19.5" customHeight="1">
      <c r="A35" s="459">
        <v>30</v>
      </c>
      <c r="B35" s="460" t="s">
        <v>409</v>
      </c>
      <c r="C35" s="447">
        <f t="shared" si="0"/>
        <v>3.56</v>
      </c>
      <c r="D35" s="448"/>
      <c r="E35" s="448">
        <v>0.25</v>
      </c>
      <c r="F35" s="448">
        <f>2.14-0.5</f>
        <v>1.6400000000000001</v>
      </c>
      <c r="G35" s="448">
        <v>1.67</v>
      </c>
      <c r="H35" s="448"/>
      <c r="I35" s="449">
        <v>413.0532</v>
      </c>
      <c r="J35" s="450">
        <f t="shared" si="1"/>
        <v>0.21</v>
      </c>
      <c r="K35" s="628"/>
      <c r="L35" s="628"/>
      <c r="M35" s="628">
        <v>0.21</v>
      </c>
      <c r="N35" s="628"/>
      <c r="O35" s="457"/>
      <c r="P35" s="550">
        <v>150</v>
      </c>
    </row>
    <row r="36" spans="1:16" ht="15.75">
      <c r="A36" s="468"/>
      <c r="B36" s="469" t="s">
        <v>338</v>
      </c>
      <c r="C36" s="470">
        <f aca="true" t="shared" si="2" ref="C36:H36">SUM(C32:C35)</f>
        <v>11.368</v>
      </c>
      <c r="D36" s="471">
        <f t="shared" si="2"/>
        <v>0</v>
      </c>
      <c r="E36" s="471">
        <f t="shared" si="2"/>
        <v>0.55</v>
      </c>
      <c r="F36" s="471">
        <f t="shared" si="2"/>
        <v>8.677999999999999</v>
      </c>
      <c r="G36" s="471">
        <f t="shared" si="2"/>
        <v>2.14</v>
      </c>
      <c r="H36" s="471">
        <f t="shared" si="2"/>
        <v>0</v>
      </c>
      <c r="I36" s="472">
        <v>12739.306860000002</v>
      </c>
      <c r="J36" s="473">
        <f aca="true" t="shared" si="3" ref="J36:O36">SUM(J6:J35)</f>
        <v>24.522000000000006</v>
      </c>
      <c r="K36" s="473">
        <f t="shared" si="3"/>
        <v>0.15</v>
      </c>
      <c r="L36" s="473">
        <f t="shared" si="3"/>
        <v>2.117</v>
      </c>
      <c r="M36" s="473">
        <f t="shared" si="3"/>
        <v>20.985000000000003</v>
      </c>
      <c r="N36" s="473">
        <f t="shared" si="3"/>
        <v>1.27</v>
      </c>
      <c r="O36" s="473">
        <f t="shared" si="3"/>
        <v>0</v>
      </c>
      <c r="P36" s="473">
        <v>3771</v>
      </c>
    </row>
    <row r="37" spans="1:8" ht="23.25" customHeight="1" hidden="1">
      <c r="A37" s="350"/>
      <c r="B37" s="351" t="s">
        <v>410</v>
      </c>
      <c r="C37" s="351"/>
      <c r="D37" s="351"/>
      <c r="E37" s="351"/>
      <c r="F37" s="351"/>
      <c r="G37" s="351"/>
      <c r="H37" s="351"/>
    </row>
    <row r="38" ht="18.75" customHeight="1" hidden="1">
      <c r="B38" s="474" t="s">
        <v>411</v>
      </c>
    </row>
    <row r="39" spans="2:4" ht="17.25" customHeight="1" hidden="1">
      <c r="B39" s="474" t="s">
        <v>412</v>
      </c>
      <c r="D39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7" t="s">
        <v>192</v>
      </c>
      <c r="C1" s="797"/>
      <c r="D1" s="797"/>
      <c r="E1" s="797"/>
      <c r="F1" s="797"/>
      <c r="G1" s="797"/>
      <c r="H1" s="797"/>
      <c r="I1" s="797"/>
      <c r="K1" s="797" t="s">
        <v>1</v>
      </c>
      <c r="L1" s="797"/>
      <c r="M1" s="797"/>
      <c r="N1" s="797"/>
      <c r="O1" s="797"/>
    </row>
    <row r="2" spans="1:15" s="443" customFormat="1" ht="15.75">
      <c r="A2" s="442"/>
      <c r="B2" s="797" t="s">
        <v>450</v>
      </c>
      <c r="C2" s="797"/>
      <c r="D2" s="797"/>
      <c r="E2" s="797"/>
      <c r="F2" s="797"/>
      <c r="G2" s="797"/>
      <c r="H2" s="797"/>
      <c r="I2" s="797"/>
      <c r="K2" s="798" t="s">
        <v>101</v>
      </c>
      <c r="L2" s="798"/>
      <c r="M2" s="798"/>
      <c r="N2" s="798"/>
      <c r="O2" s="798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24" customHeight="1">
      <c r="A4" s="802" t="s">
        <v>5</v>
      </c>
      <c r="B4" s="801" t="s">
        <v>102</v>
      </c>
      <c r="C4" s="802" t="s">
        <v>374</v>
      </c>
      <c r="D4" s="802"/>
      <c r="E4" s="802"/>
      <c r="F4" s="802"/>
      <c r="G4" s="802"/>
      <c r="H4" s="802"/>
      <c r="I4" s="801" t="s">
        <v>375</v>
      </c>
      <c r="J4" s="802" t="s">
        <v>462</v>
      </c>
      <c r="K4" s="802"/>
      <c r="L4" s="802"/>
      <c r="M4" s="802"/>
      <c r="N4" s="802"/>
      <c r="O4" s="802"/>
      <c r="P4" s="801" t="s">
        <v>457</v>
      </c>
    </row>
    <row r="5" spans="1:16" ht="103.5" customHeight="1">
      <c r="A5" s="802"/>
      <c r="B5" s="801"/>
      <c r="C5" s="531" t="s">
        <v>376</v>
      </c>
      <c r="D5" s="531" t="s">
        <v>268</v>
      </c>
      <c r="E5" s="531" t="s">
        <v>377</v>
      </c>
      <c r="F5" s="531" t="s">
        <v>14</v>
      </c>
      <c r="G5" s="531" t="s">
        <v>378</v>
      </c>
      <c r="H5" s="531" t="s">
        <v>379</v>
      </c>
      <c r="I5" s="801"/>
      <c r="J5" s="531" t="s">
        <v>376</v>
      </c>
      <c r="K5" s="531" t="s">
        <v>268</v>
      </c>
      <c r="L5" s="531" t="s">
        <v>377</v>
      </c>
      <c r="M5" s="531" t="s">
        <v>14</v>
      </c>
      <c r="N5" s="531" t="s">
        <v>378</v>
      </c>
      <c r="O5" s="531" t="s">
        <v>379</v>
      </c>
      <c r="P5" s="801"/>
    </row>
    <row r="6" spans="1:16" ht="19.5" customHeight="1">
      <c r="A6" s="525">
        <v>1</v>
      </c>
      <c r="B6" s="526" t="s">
        <v>446</v>
      </c>
      <c r="C6" s="527">
        <f aca="true" t="shared" si="0" ref="C6:C11">SUM(D6:H6)</f>
        <v>4.64</v>
      </c>
      <c r="D6" s="528"/>
      <c r="E6" s="528">
        <v>2.34</v>
      </c>
      <c r="F6" s="528"/>
      <c r="G6" s="528">
        <v>2.3</v>
      </c>
      <c r="H6" s="528"/>
      <c r="I6" s="529">
        <f aca="true" t="shared" si="1" ref="I6:I11">+E6*173.04+(F6+G6)*111.72+H6*127.68</f>
        <v>661.8696</v>
      </c>
      <c r="J6" s="450">
        <f aca="true" t="shared" si="2" ref="J6:J11">SUM(K6:O6)</f>
        <v>0</v>
      </c>
      <c r="K6" s="290"/>
      <c r="L6" s="290"/>
      <c r="M6" s="290"/>
      <c r="N6" s="290"/>
      <c r="O6" s="290"/>
      <c r="P6" s="530"/>
    </row>
    <row r="7" spans="1:16" s="458" customFormat="1" ht="19.5" customHeight="1">
      <c r="A7" s="451">
        <f>A6+1</f>
        <v>2</v>
      </c>
      <c r="B7" s="396" t="s">
        <v>444</v>
      </c>
      <c r="C7" s="453">
        <f t="shared" si="0"/>
        <v>6.51</v>
      </c>
      <c r="D7" s="454"/>
      <c r="E7" s="454">
        <v>3.15</v>
      </c>
      <c r="F7" s="455">
        <v>0.67</v>
      </c>
      <c r="G7" s="454">
        <v>2.09</v>
      </c>
      <c r="H7" s="454">
        <v>0.6</v>
      </c>
      <c r="I7" s="449">
        <f t="shared" si="1"/>
        <v>930.0311999999999</v>
      </c>
      <c r="J7" s="450">
        <f t="shared" si="2"/>
        <v>0</v>
      </c>
      <c r="K7" s="457"/>
      <c r="L7" s="457"/>
      <c r="M7" s="457"/>
      <c r="N7" s="551"/>
      <c r="O7" s="457"/>
      <c r="P7" s="595">
        <v>96</v>
      </c>
    </row>
    <row r="8" spans="1:17" ht="19.5" customHeight="1">
      <c r="A8" s="459">
        <f>A7+1</f>
        <v>3</v>
      </c>
      <c r="B8" s="396" t="s">
        <v>445</v>
      </c>
      <c r="C8" s="447">
        <f t="shared" si="0"/>
        <v>11.6</v>
      </c>
      <c r="D8" s="448"/>
      <c r="E8" s="448">
        <v>5</v>
      </c>
      <c r="F8" s="448">
        <v>1</v>
      </c>
      <c r="G8" s="448">
        <v>5.6</v>
      </c>
      <c r="H8" s="448"/>
      <c r="I8" s="449">
        <f t="shared" si="1"/>
        <v>1602.552</v>
      </c>
      <c r="J8" s="450">
        <f t="shared" si="2"/>
        <v>0.4</v>
      </c>
      <c r="K8" s="461"/>
      <c r="L8" s="461"/>
      <c r="M8" s="461"/>
      <c r="N8" s="553">
        <v>0.4</v>
      </c>
      <c r="O8" s="461"/>
      <c r="P8" s="595">
        <v>48</v>
      </c>
      <c r="Q8" s="73">
        <v>2</v>
      </c>
    </row>
    <row r="9" spans="1:16" s="458" customFormat="1" ht="19.5" customHeight="1">
      <c r="A9" s="459">
        <f>A8+1</f>
        <v>4</v>
      </c>
      <c r="B9" s="396" t="s">
        <v>447</v>
      </c>
      <c r="C9" s="447">
        <f t="shared" si="0"/>
        <v>2.3</v>
      </c>
      <c r="D9" s="448"/>
      <c r="E9" s="448">
        <v>0.3</v>
      </c>
      <c r="F9" s="448">
        <v>1</v>
      </c>
      <c r="G9" s="448">
        <v>1</v>
      </c>
      <c r="H9" s="448"/>
      <c r="I9" s="449">
        <f t="shared" si="1"/>
        <v>275.352</v>
      </c>
      <c r="J9" s="450">
        <f t="shared" si="2"/>
        <v>0</v>
      </c>
      <c r="K9" s="457"/>
      <c r="L9" s="457"/>
      <c r="M9" s="551"/>
      <c r="O9" s="457"/>
      <c r="P9" s="552"/>
    </row>
    <row r="10" spans="1:16" ht="19.5" customHeight="1">
      <c r="A10" s="459">
        <f>A9+1</f>
        <v>5</v>
      </c>
      <c r="B10" s="396" t="s">
        <v>448</v>
      </c>
      <c r="C10" s="447">
        <f t="shared" si="0"/>
        <v>3.5</v>
      </c>
      <c r="D10" s="448"/>
      <c r="E10" s="448">
        <v>2.5</v>
      </c>
      <c r="F10" s="448"/>
      <c r="G10" s="448">
        <v>1</v>
      </c>
      <c r="H10" s="448"/>
      <c r="I10" s="449">
        <f t="shared" si="1"/>
        <v>544.3199999999999</v>
      </c>
      <c r="J10" s="450">
        <f t="shared" si="2"/>
        <v>0</v>
      </c>
      <c r="K10" s="461"/>
      <c r="L10" s="461"/>
      <c r="M10" s="461"/>
      <c r="N10" s="461"/>
      <c r="O10" s="461"/>
      <c r="P10" s="462"/>
    </row>
    <row r="11" spans="1:16" ht="19.5" customHeight="1">
      <c r="A11" s="459">
        <f>A10+1</f>
        <v>6</v>
      </c>
      <c r="B11" s="396" t="s">
        <v>449</v>
      </c>
      <c r="C11" s="447">
        <f t="shared" si="0"/>
        <v>2.5</v>
      </c>
      <c r="D11" s="448"/>
      <c r="E11" s="448">
        <v>0.5</v>
      </c>
      <c r="F11" s="448"/>
      <c r="G11" s="448">
        <v>2</v>
      </c>
      <c r="H11" s="448"/>
      <c r="I11" s="449">
        <f t="shared" si="1"/>
        <v>309.96</v>
      </c>
      <c r="J11" s="450">
        <f t="shared" si="2"/>
        <v>0</v>
      </c>
      <c r="K11" s="461"/>
      <c r="L11" s="461"/>
      <c r="M11" s="461"/>
      <c r="N11" s="461"/>
      <c r="O11" s="461"/>
      <c r="P11" s="462"/>
    </row>
    <row r="12" spans="1:16" ht="15.75">
      <c r="A12" s="468"/>
      <c r="B12" s="469" t="s">
        <v>338</v>
      </c>
      <c r="C12" s="470">
        <f aca="true" t="shared" si="3" ref="C12:P12">SUM(C6:C11)</f>
        <v>31.05</v>
      </c>
      <c r="D12" s="471">
        <f t="shared" si="3"/>
        <v>0</v>
      </c>
      <c r="E12" s="471">
        <f t="shared" si="3"/>
        <v>13.790000000000001</v>
      </c>
      <c r="F12" s="471">
        <f t="shared" si="3"/>
        <v>2.67</v>
      </c>
      <c r="G12" s="471">
        <f t="shared" si="3"/>
        <v>13.989999999999998</v>
      </c>
      <c r="H12" s="471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50"/>
      <c r="B13" s="351" t="s">
        <v>410</v>
      </c>
      <c r="C13" s="351"/>
      <c r="D13" s="351"/>
      <c r="E13" s="351"/>
      <c r="F13" s="351"/>
      <c r="G13" s="351"/>
      <c r="H13" s="351"/>
    </row>
    <row r="14" ht="18.75" customHeight="1" hidden="1">
      <c r="B14" s="474" t="s">
        <v>411</v>
      </c>
    </row>
    <row r="15" spans="2:4" ht="17.25" customHeight="1" hidden="1">
      <c r="B15" s="474" t="s">
        <v>412</v>
      </c>
      <c r="D15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">
      <selection activeCell="K33" sqref="K33"/>
    </sheetView>
  </sheetViews>
  <sheetFormatPr defaultColWidth="9.00390625" defaultRowHeight="15.75"/>
  <cols>
    <col min="1" max="1" width="4.25390625" style="406" customWidth="1"/>
    <col min="2" max="2" width="19.75390625" style="404" customWidth="1"/>
    <col min="3" max="3" width="7.00390625" style="404" customWidth="1"/>
    <col min="4" max="4" width="6.50390625" style="404" customWidth="1"/>
    <col min="5" max="5" width="6.375" style="404" customWidth="1"/>
    <col min="6" max="6" width="7.625" style="404" customWidth="1"/>
    <col min="7" max="8" width="7.50390625" style="404" customWidth="1"/>
    <col min="9" max="9" width="9.25390625" style="404" customWidth="1"/>
    <col min="10" max="10" width="6.25390625" style="404" customWidth="1"/>
    <col min="11" max="11" width="6.375" style="404" customWidth="1"/>
    <col min="12" max="12" width="6.625" style="404" customWidth="1"/>
    <col min="13" max="13" width="7.75390625" style="404" customWidth="1"/>
    <col min="14" max="15" width="7.625" style="404" customWidth="1"/>
    <col min="16" max="16" width="7.25390625" style="406" customWidth="1"/>
    <col min="17" max="17" width="7.25390625" style="406" hidden="1" customWidth="1"/>
    <col min="18" max="18" width="8.25390625" style="404" customWidth="1"/>
    <col min="19" max="16384" width="9.00390625" style="404" customWidth="1"/>
  </cols>
  <sheetData>
    <row r="1" spans="1:18" ht="15.75">
      <c r="A1" s="669" t="s">
        <v>0</v>
      </c>
      <c r="B1" s="669"/>
      <c r="C1" s="669"/>
      <c r="D1" s="669"/>
      <c r="E1" s="669"/>
      <c r="F1" s="669"/>
      <c r="G1" s="669"/>
      <c r="H1" s="669"/>
      <c r="I1" s="669"/>
      <c r="J1" s="669"/>
      <c r="K1" s="403"/>
      <c r="L1" s="669" t="s">
        <v>1</v>
      </c>
      <c r="M1" s="669"/>
      <c r="N1" s="669"/>
      <c r="O1" s="669"/>
      <c r="P1" s="669"/>
      <c r="Q1" s="669"/>
      <c r="R1" s="669"/>
    </row>
    <row r="2" spans="1:18" ht="15.75">
      <c r="A2" s="669" t="s">
        <v>2</v>
      </c>
      <c r="B2" s="669"/>
      <c r="C2" s="669"/>
      <c r="D2" s="669"/>
      <c r="E2" s="669"/>
      <c r="F2" s="669"/>
      <c r="G2" s="669"/>
      <c r="H2" s="669"/>
      <c r="I2" s="669"/>
      <c r="J2" s="669"/>
      <c r="K2" s="403"/>
      <c r="L2" s="405"/>
      <c r="M2" s="405"/>
      <c r="N2" s="405" t="s">
        <v>3</v>
      </c>
      <c r="O2" s="405"/>
      <c r="P2" s="405"/>
      <c r="Q2" s="405"/>
      <c r="R2" s="405"/>
    </row>
    <row r="3" ht="9" customHeight="1"/>
    <row r="4" ht="12.75" customHeight="1"/>
    <row r="5" spans="1:18" ht="21.75" customHeight="1" hidden="1">
      <c r="A5" s="675" t="s">
        <v>40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</row>
    <row r="6" spans="1:18" ht="17.25" customHeight="1" hidden="1">
      <c r="A6" s="676" t="s">
        <v>4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</row>
    <row r="7" ht="11.25" customHeight="1"/>
    <row r="8" spans="1:18" s="407" customFormat="1" ht="32.25" customHeight="1">
      <c r="A8" s="677" t="s">
        <v>5</v>
      </c>
      <c r="B8" s="678" t="s">
        <v>6</v>
      </c>
      <c r="C8" s="672" t="s">
        <v>7</v>
      </c>
      <c r="D8" s="672"/>
      <c r="E8" s="672"/>
      <c r="F8" s="672"/>
      <c r="G8" s="672"/>
      <c r="H8" s="672"/>
      <c r="I8" s="672"/>
      <c r="J8" s="672" t="s">
        <v>462</v>
      </c>
      <c r="K8" s="672"/>
      <c r="L8" s="672"/>
      <c r="M8" s="672"/>
      <c r="N8" s="672"/>
      <c r="O8" s="672"/>
      <c r="P8" s="672"/>
      <c r="Q8" s="670" t="s">
        <v>39</v>
      </c>
      <c r="R8" s="678" t="s">
        <v>8</v>
      </c>
    </row>
    <row r="9" spans="1:18" s="407" customFormat="1" ht="15" customHeight="1">
      <c r="A9" s="674"/>
      <c r="B9" s="673"/>
      <c r="C9" s="673" t="s">
        <v>9</v>
      </c>
      <c r="D9" s="668" t="s">
        <v>10</v>
      </c>
      <c r="E9" s="668"/>
      <c r="F9" s="668"/>
      <c r="G9" s="668"/>
      <c r="H9" s="409"/>
      <c r="I9" s="673" t="s">
        <v>43</v>
      </c>
      <c r="J9" s="673" t="s">
        <v>9</v>
      </c>
      <c r="K9" s="668" t="s">
        <v>10</v>
      </c>
      <c r="L9" s="668"/>
      <c r="M9" s="668"/>
      <c r="N9" s="668"/>
      <c r="O9" s="668"/>
      <c r="P9" s="674" t="s">
        <v>11</v>
      </c>
      <c r="Q9" s="671"/>
      <c r="R9" s="673"/>
    </row>
    <row r="10" spans="1:18" s="407" customFormat="1" ht="65.25" customHeight="1">
      <c r="A10" s="674"/>
      <c r="B10" s="673"/>
      <c r="C10" s="673"/>
      <c r="D10" s="408" t="s">
        <v>12</v>
      </c>
      <c r="E10" s="408" t="s">
        <v>13</v>
      </c>
      <c r="F10" s="408" t="s">
        <v>14</v>
      </c>
      <c r="G10" s="408" t="s">
        <v>15</v>
      </c>
      <c r="H10" s="408"/>
      <c r="I10" s="673"/>
      <c r="J10" s="673"/>
      <c r="K10" s="408" t="s">
        <v>12</v>
      </c>
      <c r="L10" s="408" t="s">
        <v>42</v>
      </c>
      <c r="M10" s="408" t="s">
        <v>14</v>
      </c>
      <c r="N10" s="408" t="s">
        <v>15</v>
      </c>
      <c r="O10" s="408" t="s">
        <v>41</v>
      </c>
      <c r="P10" s="674"/>
      <c r="Q10" s="671"/>
      <c r="R10" s="673"/>
    </row>
    <row r="11" spans="1:18" s="415" customFormat="1" ht="14.25" customHeight="1">
      <c r="A11" s="410">
        <v>1</v>
      </c>
      <c r="B11" s="411" t="s">
        <v>16</v>
      </c>
      <c r="C11" s="412">
        <f>SUM(D11:G11)</f>
        <v>2.9000000000000004</v>
      </c>
      <c r="D11" s="412"/>
      <c r="E11" s="413">
        <v>1.1</v>
      </c>
      <c r="F11" s="413">
        <v>1.1</v>
      </c>
      <c r="G11" s="413">
        <v>0.7</v>
      </c>
      <c r="H11" s="413"/>
      <c r="I11" s="413">
        <f>+D11*194.67+E11*173.04+(F11+G11)*111.72</f>
        <v>391.44</v>
      </c>
      <c r="J11" s="412">
        <f aca="true" t="shared" si="0" ref="J11:J30">SUM(K11:O11)</f>
        <v>0.742</v>
      </c>
      <c r="K11" s="412"/>
      <c r="L11" s="413">
        <v>0.15</v>
      </c>
      <c r="M11" s="413">
        <v>0.439</v>
      </c>
      <c r="N11" s="413">
        <v>0.153</v>
      </c>
      <c r="O11" s="413"/>
      <c r="P11" s="420">
        <v>84</v>
      </c>
      <c r="Q11" s="414"/>
      <c r="R11" s="412"/>
    </row>
    <row r="12" spans="1:18" s="417" customFormat="1" ht="14.25" customHeight="1">
      <c r="A12" s="410">
        <v>2</v>
      </c>
      <c r="B12" s="411" t="s">
        <v>17</v>
      </c>
      <c r="C12" s="412">
        <f aca="true" t="shared" si="1" ref="C12:C32">SUM(D12:G12)</f>
        <v>5.4</v>
      </c>
      <c r="D12" s="412"/>
      <c r="E12" s="413">
        <v>0.9</v>
      </c>
      <c r="F12" s="413">
        <v>2</v>
      </c>
      <c r="G12" s="416">
        <v>2.5</v>
      </c>
      <c r="H12" s="416"/>
      <c r="I12" s="413">
        <f aca="true" t="shared" si="2" ref="I12:I32">+D12*194.67+E12*173.04+(F12+G12)*111.72</f>
        <v>658.476</v>
      </c>
      <c r="J12" s="412">
        <f t="shared" si="0"/>
        <v>0.85</v>
      </c>
      <c r="K12" s="412"/>
      <c r="L12" s="416">
        <v>0.15</v>
      </c>
      <c r="M12" s="416">
        <v>0.7</v>
      </c>
      <c r="N12" s="416"/>
      <c r="O12" s="416"/>
      <c r="P12" s="420">
        <v>120</v>
      </c>
      <c r="Q12" s="414"/>
      <c r="R12" s="412"/>
    </row>
    <row r="13" spans="1:18" s="417" customFormat="1" ht="14.25" customHeight="1">
      <c r="A13" s="410">
        <v>3</v>
      </c>
      <c r="B13" s="411" t="s">
        <v>18</v>
      </c>
      <c r="C13" s="412">
        <f t="shared" si="1"/>
        <v>7.93</v>
      </c>
      <c r="D13" s="412"/>
      <c r="E13" s="413">
        <v>1.1</v>
      </c>
      <c r="F13" s="413">
        <v>1.83</v>
      </c>
      <c r="G13" s="416">
        <v>5</v>
      </c>
      <c r="H13" s="416"/>
      <c r="I13" s="413">
        <f t="shared" si="2"/>
        <v>953.3915999999999</v>
      </c>
      <c r="J13" s="412">
        <f t="shared" si="0"/>
        <v>1.415</v>
      </c>
      <c r="K13" s="412"/>
      <c r="L13" s="416"/>
      <c r="M13" s="416">
        <v>1.415</v>
      </c>
      <c r="N13" s="416"/>
      <c r="O13" s="416"/>
      <c r="P13" s="420">
        <v>247</v>
      </c>
      <c r="Q13" s="414"/>
      <c r="R13" s="412"/>
    </row>
    <row r="14" spans="1:18" s="417" customFormat="1" ht="14.25" customHeight="1">
      <c r="A14" s="410">
        <v>4</v>
      </c>
      <c r="B14" s="411" t="s">
        <v>19</v>
      </c>
      <c r="C14" s="412">
        <f t="shared" si="1"/>
        <v>2.5</v>
      </c>
      <c r="D14" s="412"/>
      <c r="E14" s="413"/>
      <c r="F14" s="413"/>
      <c r="G14" s="416">
        <v>2.5</v>
      </c>
      <c r="H14" s="416"/>
      <c r="I14" s="413">
        <f t="shared" si="2"/>
        <v>279.3</v>
      </c>
      <c r="J14" s="412">
        <f t="shared" si="0"/>
        <v>0</v>
      </c>
      <c r="K14" s="412"/>
      <c r="L14" s="416"/>
      <c r="M14" s="416"/>
      <c r="N14" s="416"/>
      <c r="O14" s="416"/>
      <c r="P14" s="420"/>
      <c r="Q14" s="414"/>
      <c r="R14" s="412"/>
    </row>
    <row r="15" spans="1:18" s="417" customFormat="1" ht="14.25" customHeight="1">
      <c r="A15" s="410">
        <v>5</v>
      </c>
      <c r="B15" s="411" t="s">
        <v>20</v>
      </c>
      <c r="C15" s="412">
        <f t="shared" si="1"/>
        <v>3</v>
      </c>
      <c r="D15" s="412"/>
      <c r="E15" s="413"/>
      <c r="F15" s="413">
        <v>2</v>
      </c>
      <c r="G15" s="416">
        <v>1</v>
      </c>
      <c r="H15" s="416"/>
      <c r="I15" s="413">
        <f t="shared" si="2"/>
        <v>335.15999999999997</v>
      </c>
      <c r="J15" s="412">
        <f t="shared" si="0"/>
        <v>3.1</v>
      </c>
      <c r="K15" s="412"/>
      <c r="L15" s="416"/>
      <c r="M15" s="416">
        <v>2.9</v>
      </c>
      <c r="N15" s="416">
        <v>0.2</v>
      </c>
      <c r="O15" s="416"/>
      <c r="P15" s="420">
        <v>328</v>
      </c>
      <c r="Q15" s="414"/>
      <c r="R15" s="412"/>
    </row>
    <row r="16" spans="1:18" s="417" customFormat="1" ht="14.25" customHeight="1">
      <c r="A16" s="410">
        <v>6</v>
      </c>
      <c r="B16" s="418" t="s">
        <v>21</v>
      </c>
      <c r="C16" s="412">
        <f t="shared" si="1"/>
        <v>3.2</v>
      </c>
      <c r="D16" s="412"/>
      <c r="E16" s="419"/>
      <c r="F16" s="413">
        <v>1</v>
      </c>
      <c r="G16" s="416">
        <v>2.2</v>
      </c>
      <c r="H16" s="416"/>
      <c r="I16" s="413">
        <f t="shared" si="2"/>
        <v>357.504</v>
      </c>
      <c r="J16" s="412">
        <f t="shared" si="0"/>
        <v>0.55</v>
      </c>
      <c r="K16" s="412"/>
      <c r="L16" s="416"/>
      <c r="M16" s="416"/>
      <c r="N16" s="416">
        <v>0.55</v>
      </c>
      <c r="O16" s="416"/>
      <c r="P16" s="420">
        <v>72</v>
      </c>
      <c r="Q16" s="420"/>
      <c r="R16" s="421"/>
    </row>
    <row r="17" spans="1:18" s="417" customFormat="1" ht="14.25" customHeight="1">
      <c r="A17" s="410">
        <v>7</v>
      </c>
      <c r="B17" s="411" t="s">
        <v>22</v>
      </c>
      <c r="C17" s="412">
        <f t="shared" si="1"/>
        <v>6</v>
      </c>
      <c r="D17" s="412"/>
      <c r="E17" s="413">
        <v>0.5</v>
      </c>
      <c r="F17" s="413">
        <v>2.5</v>
      </c>
      <c r="G17" s="416">
        <v>3</v>
      </c>
      <c r="H17" s="416"/>
      <c r="I17" s="413">
        <f t="shared" si="2"/>
        <v>700.98</v>
      </c>
      <c r="J17" s="412">
        <f t="shared" si="0"/>
        <v>1.6</v>
      </c>
      <c r="K17" s="412"/>
      <c r="L17" s="416">
        <v>0.4</v>
      </c>
      <c r="M17" s="416">
        <v>0.2</v>
      </c>
      <c r="N17" s="416">
        <v>1</v>
      </c>
      <c r="O17" s="416"/>
      <c r="P17" s="420">
        <v>256</v>
      </c>
      <c r="Q17" s="414">
        <v>0.2</v>
      </c>
      <c r="R17" s="412"/>
    </row>
    <row r="18" spans="1:18" s="417" customFormat="1" ht="14.25" customHeight="1">
      <c r="A18" s="410">
        <v>8</v>
      </c>
      <c r="B18" s="411" t="s">
        <v>23</v>
      </c>
      <c r="C18" s="412">
        <f t="shared" si="1"/>
        <v>2.6999999999999997</v>
      </c>
      <c r="D18" s="412"/>
      <c r="E18" s="413">
        <v>2.3</v>
      </c>
      <c r="F18" s="413">
        <v>0.4</v>
      </c>
      <c r="G18" s="416"/>
      <c r="H18" s="416"/>
      <c r="I18" s="413">
        <f t="shared" si="2"/>
        <v>442.67999999999995</v>
      </c>
      <c r="J18" s="412">
        <f t="shared" si="0"/>
        <v>0.825</v>
      </c>
      <c r="K18" s="412"/>
      <c r="L18" s="416">
        <v>0.76</v>
      </c>
      <c r="M18" s="416">
        <v>0.065</v>
      </c>
      <c r="N18" s="416"/>
      <c r="O18" s="416"/>
      <c r="P18" s="420">
        <v>80</v>
      </c>
      <c r="Q18" s="414"/>
      <c r="R18" s="412"/>
    </row>
    <row r="19" spans="1:18" s="417" customFormat="1" ht="14.25" customHeight="1">
      <c r="A19" s="410">
        <v>9</v>
      </c>
      <c r="B19" s="411" t="s">
        <v>24</v>
      </c>
      <c r="C19" s="412">
        <f t="shared" si="1"/>
        <v>5.199999999999999</v>
      </c>
      <c r="D19" s="412">
        <v>0.2</v>
      </c>
      <c r="E19" s="413">
        <v>3.9</v>
      </c>
      <c r="F19" s="413">
        <v>1.1</v>
      </c>
      <c r="G19" s="416"/>
      <c r="H19" s="416"/>
      <c r="I19" s="413">
        <f t="shared" si="2"/>
        <v>836.682</v>
      </c>
      <c r="J19" s="412">
        <f t="shared" si="0"/>
        <v>0.7</v>
      </c>
      <c r="K19" s="412"/>
      <c r="L19" s="416">
        <v>0.7</v>
      </c>
      <c r="M19" s="416"/>
      <c r="N19" s="416"/>
      <c r="O19" s="416"/>
      <c r="P19" s="420">
        <v>152</v>
      </c>
      <c r="Q19" s="414"/>
      <c r="R19" s="412"/>
    </row>
    <row r="20" spans="1:18" s="417" customFormat="1" ht="14.25" customHeight="1">
      <c r="A20" s="410">
        <v>10</v>
      </c>
      <c r="B20" s="411" t="s">
        <v>25</v>
      </c>
      <c r="C20" s="412">
        <f t="shared" si="1"/>
        <v>7.4</v>
      </c>
      <c r="D20" s="412"/>
      <c r="E20" s="413"/>
      <c r="F20" s="413">
        <v>4.7</v>
      </c>
      <c r="G20" s="416">
        <v>2.7</v>
      </c>
      <c r="H20" s="416"/>
      <c r="I20" s="413">
        <f t="shared" si="2"/>
        <v>826.7280000000001</v>
      </c>
      <c r="J20" s="412">
        <f t="shared" si="0"/>
        <v>0</v>
      </c>
      <c r="K20" s="412"/>
      <c r="L20" s="416"/>
      <c r="M20" s="416"/>
      <c r="N20" s="416"/>
      <c r="O20" s="416"/>
      <c r="P20" s="420"/>
      <c r="Q20" s="414"/>
      <c r="R20" s="412"/>
    </row>
    <row r="21" spans="1:18" s="417" customFormat="1" ht="14.25" customHeight="1">
      <c r="A21" s="410">
        <v>11</v>
      </c>
      <c r="B21" s="411" t="s">
        <v>26</v>
      </c>
      <c r="C21" s="412">
        <f t="shared" si="1"/>
        <v>6.5</v>
      </c>
      <c r="D21" s="412">
        <v>0.5</v>
      </c>
      <c r="E21" s="413">
        <v>1.5</v>
      </c>
      <c r="F21" s="413">
        <v>3.8</v>
      </c>
      <c r="G21" s="416">
        <v>0.7</v>
      </c>
      <c r="H21" s="416"/>
      <c r="I21" s="413">
        <f t="shared" si="2"/>
        <v>859.635</v>
      </c>
      <c r="J21" s="412">
        <f t="shared" si="0"/>
        <v>2.62</v>
      </c>
      <c r="K21" s="412"/>
      <c r="L21" s="416">
        <v>0.366</v>
      </c>
      <c r="M21" s="416">
        <v>2.254</v>
      </c>
      <c r="N21" s="416"/>
      <c r="O21" s="416"/>
      <c r="P21" s="420">
        <v>319</v>
      </c>
      <c r="Q21" s="414"/>
      <c r="R21" s="412"/>
    </row>
    <row r="22" spans="1:18" s="417" customFormat="1" ht="14.25" customHeight="1">
      <c r="A22" s="410">
        <v>12</v>
      </c>
      <c r="B22" s="411" t="s">
        <v>27</v>
      </c>
      <c r="C22" s="412">
        <f t="shared" si="1"/>
        <v>3.4</v>
      </c>
      <c r="D22" s="412"/>
      <c r="E22" s="413">
        <v>0.6</v>
      </c>
      <c r="F22" s="413">
        <v>1.3</v>
      </c>
      <c r="G22" s="416">
        <v>1.5</v>
      </c>
      <c r="H22" s="416"/>
      <c r="I22" s="413">
        <f t="shared" si="2"/>
        <v>416.64</v>
      </c>
      <c r="J22" s="412">
        <f t="shared" si="0"/>
        <v>0.2</v>
      </c>
      <c r="K22" s="412"/>
      <c r="L22" s="416"/>
      <c r="M22" s="416">
        <v>0.2</v>
      </c>
      <c r="N22" s="416"/>
      <c r="O22" s="416"/>
      <c r="P22" s="420">
        <v>72</v>
      </c>
      <c r="Q22" s="414"/>
      <c r="R22" s="412"/>
    </row>
    <row r="23" spans="1:18" s="417" customFormat="1" ht="14.25" customHeight="1">
      <c r="A23" s="410">
        <v>13</v>
      </c>
      <c r="B23" s="411" t="s">
        <v>28</v>
      </c>
      <c r="C23" s="412">
        <f t="shared" si="1"/>
        <v>5</v>
      </c>
      <c r="D23" s="412">
        <v>1</v>
      </c>
      <c r="E23" s="413">
        <v>1.3</v>
      </c>
      <c r="F23" s="413">
        <v>2</v>
      </c>
      <c r="G23" s="416">
        <v>0.7</v>
      </c>
      <c r="H23" s="416"/>
      <c r="I23" s="413">
        <f t="shared" si="2"/>
        <v>721.266</v>
      </c>
      <c r="J23" s="412">
        <f t="shared" si="0"/>
        <v>0.6</v>
      </c>
      <c r="K23" s="412"/>
      <c r="L23" s="416"/>
      <c r="M23" s="416">
        <v>0.6</v>
      </c>
      <c r="N23" s="416"/>
      <c r="O23" s="416"/>
      <c r="P23" s="420">
        <v>72</v>
      </c>
      <c r="Q23" s="414"/>
      <c r="R23" s="412"/>
    </row>
    <row r="24" spans="1:18" s="417" customFormat="1" ht="14.25" customHeight="1">
      <c r="A24" s="410">
        <v>14</v>
      </c>
      <c r="B24" s="411" t="s">
        <v>29</v>
      </c>
      <c r="C24" s="412">
        <f t="shared" si="1"/>
        <v>9</v>
      </c>
      <c r="D24" s="412"/>
      <c r="E24" s="413">
        <v>1</v>
      </c>
      <c r="F24" s="413">
        <v>4</v>
      </c>
      <c r="G24" s="413">
        <v>4</v>
      </c>
      <c r="H24" s="413"/>
      <c r="I24" s="413">
        <f t="shared" si="2"/>
        <v>1066.8</v>
      </c>
      <c r="J24" s="412">
        <f t="shared" si="0"/>
        <v>0.5</v>
      </c>
      <c r="K24" s="412"/>
      <c r="L24" s="416"/>
      <c r="M24" s="416">
        <v>0.3</v>
      </c>
      <c r="N24" s="416">
        <v>0.2</v>
      </c>
      <c r="O24" s="416"/>
      <c r="P24" s="420">
        <v>144</v>
      </c>
      <c r="Q24" s="414"/>
      <c r="R24" s="412"/>
    </row>
    <row r="25" spans="1:18" s="417" customFormat="1" ht="14.25" customHeight="1">
      <c r="A25" s="410">
        <v>15</v>
      </c>
      <c r="B25" s="411" t="s">
        <v>30</v>
      </c>
      <c r="C25" s="412">
        <f t="shared" si="1"/>
        <v>4</v>
      </c>
      <c r="D25" s="412">
        <v>0.7</v>
      </c>
      <c r="E25" s="413"/>
      <c r="F25" s="413"/>
      <c r="G25" s="416">
        <v>3.3</v>
      </c>
      <c r="H25" s="416"/>
      <c r="I25" s="413">
        <f t="shared" si="2"/>
        <v>504.94499999999994</v>
      </c>
      <c r="J25" s="412">
        <f t="shared" si="0"/>
        <v>0.94</v>
      </c>
      <c r="K25" s="412"/>
      <c r="L25" s="416"/>
      <c r="M25" s="416"/>
      <c r="N25" s="416">
        <v>0.94</v>
      </c>
      <c r="O25" s="416"/>
      <c r="P25" s="420">
        <v>207</v>
      </c>
      <c r="Q25" s="414">
        <v>1.1</v>
      </c>
      <c r="R25" s="412"/>
    </row>
    <row r="26" spans="1:18" s="417" customFormat="1" ht="14.25" customHeight="1">
      <c r="A26" s="410">
        <v>16</v>
      </c>
      <c r="B26" s="418" t="s">
        <v>31</v>
      </c>
      <c r="C26" s="412">
        <f t="shared" si="1"/>
        <v>1</v>
      </c>
      <c r="D26" s="412"/>
      <c r="E26" s="419"/>
      <c r="F26" s="413">
        <v>1</v>
      </c>
      <c r="G26" s="416"/>
      <c r="H26" s="416"/>
      <c r="I26" s="413">
        <f t="shared" si="2"/>
        <v>111.72</v>
      </c>
      <c r="J26" s="412">
        <f t="shared" si="0"/>
        <v>0</v>
      </c>
      <c r="K26" s="412"/>
      <c r="L26" s="416"/>
      <c r="M26" s="416"/>
      <c r="N26" s="416"/>
      <c r="O26" s="416"/>
      <c r="P26" s="420"/>
      <c r="Q26" s="420"/>
      <c r="R26" s="412"/>
    </row>
    <row r="27" spans="1:18" s="417" customFormat="1" ht="14.25" customHeight="1">
      <c r="A27" s="410">
        <v>17</v>
      </c>
      <c r="B27" s="411" t="s">
        <v>32</v>
      </c>
      <c r="C27" s="412">
        <f t="shared" si="1"/>
        <v>3</v>
      </c>
      <c r="D27" s="412"/>
      <c r="E27" s="413"/>
      <c r="F27" s="413">
        <v>3</v>
      </c>
      <c r="G27" s="416"/>
      <c r="H27" s="416"/>
      <c r="I27" s="413">
        <f t="shared" si="2"/>
        <v>335.15999999999997</v>
      </c>
      <c r="J27" s="412">
        <f t="shared" si="0"/>
        <v>0</v>
      </c>
      <c r="K27" s="412"/>
      <c r="L27" s="416"/>
      <c r="M27" s="416"/>
      <c r="N27" s="416"/>
      <c r="O27" s="416"/>
      <c r="P27" s="420"/>
      <c r="Q27" s="414"/>
      <c r="R27" s="412"/>
    </row>
    <row r="28" spans="1:18" s="417" customFormat="1" ht="14.25" customHeight="1">
      <c r="A28" s="410">
        <v>18</v>
      </c>
      <c r="B28" s="411" t="s">
        <v>33</v>
      </c>
      <c r="C28" s="412">
        <f t="shared" si="1"/>
        <v>2.5</v>
      </c>
      <c r="D28" s="412"/>
      <c r="E28" s="413">
        <v>0.4</v>
      </c>
      <c r="F28" s="413">
        <v>0.4</v>
      </c>
      <c r="G28" s="416">
        <v>1.7</v>
      </c>
      <c r="H28" s="416"/>
      <c r="I28" s="413">
        <f t="shared" si="2"/>
        <v>303.828</v>
      </c>
      <c r="J28" s="412">
        <f t="shared" si="0"/>
        <v>0</v>
      </c>
      <c r="K28" s="412"/>
      <c r="L28" s="416"/>
      <c r="M28" s="416"/>
      <c r="N28" s="416"/>
      <c r="O28" s="416"/>
      <c r="P28" s="420">
        <v>44</v>
      </c>
      <c r="Q28" s="414"/>
      <c r="R28" s="412"/>
    </row>
    <row r="29" spans="1:18" s="417" customFormat="1" ht="14.25" customHeight="1">
      <c r="A29" s="410">
        <v>19</v>
      </c>
      <c r="B29" s="411" t="s">
        <v>34</v>
      </c>
      <c r="C29" s="412">
        <f t="shared" si="1"/>
        <v>4.1</v>
      </c>
      <c r="D29" s="412"/>
      <c r="E29" s="413">
        <v>1.1</v>
      </c>
      <c r="F29" s="413">
        <v>1</v>
      </c>
      <c r="G29" s="416">
        <v>2</v>
      </c>
      <c r="H29" s="416"/>
      <c r="I29" s="413">
        <f t="shared" si="2"/>
        <v>525.5039999999999</v>
      </c>
      <c r="J29" s="412">
        <f t="shared" si="0"/>
        <v>0.2</v>
      </c>
      <c r="K29" s="412"/>
      <c r="L29" s="416"/>
      <c r="M29" s="416"/>
      <c r="N29" s="416">
        <v>0.2</v>
      </c>
      <c r="O29" s="416"/>
      <c r="P29" s="420">
        <v>72</v>
      </c>
      <c r="Q29" s="414"/>
      <c r="R29" s="412"/>
    </row>
    <row r="30" spans="1:18" s="417" customFormat="1" ht="14.25" customHeight="1">
      <c r="A30" s="410">
        <v>20</v>
      </c>
      <c r="B30" s="411" t="s">
        <v>35</v>
      </c>
      <c r="C30" s="412">
        <f t="shared" si="1"/>
        <v>3.6</v>
      </c>
      <c r="D30" s="412">
        <v>0.8</v>
      </c>
      <c r="E30" s="413"/>
      <c r="F30" s="413">
        <v>2.2</v>
      </c>
      <c r="G30" s="416">
        <v>0.6</v>
      </c>
      <c r="H30" s="416"/>
      <c r="I30" s="413">
        <f t="shared" si="2"/>
        <v>468.552</v>
      </c>
      <c r="J30" s="412">
        <f t="shared" si="0"/>
        <v>0.43</v>
      </c>
      <c r="K30" s="412"/>
      <c r="L30" s="416"/>
      <c r="M30" s="416"/>
      <c r="N30" s="416">
        <v>0.43</v>
      </c>
      <c r="O30" s="416"/>
      <c r="P30" s="420">
        <v>48</v>
      </c>
      <c r="Q30" s="414"/>
      <c r="R30" s="412"/>
    </row>
    <row r="31" spans="1:18" s="417" customFormat="1" ht="14.25" customHeight="1">
      <c r="A31" s="410">
        <v>21</v>
      </c>
      <c r="B31" s="411" t="s">
        <v>36</v>
      </c>
      <c r="C31" s="412">
        <f t="shared" si="1"/>
        <v>5</v>
      </c>
      <c r="D31" s="412"/>
      <c r="E31" s="413"/>
      <c r="F31" s="413">
        <v>4</v>
      </c>
      <c r="G31" s="416">
        <v>1</v>
      </c>
      <c r="H31" s="416"/>
      <c r="I31" s="413">
        <f t="shared" si="2"/>
        <v>558.6</v>
      </c>
      <c r="J31" s="412">
        <f>SUM(K31:O31)</f>
        <v>1.5</v>
      </c>
      <c r="K31" s="412"/>
      <c r="L31" s="416"/>
      <c r="M31" s="416">
        <v>1.5</v>
      </c>
      <c r="N31" s="416"/>
      <c r="O31" s="416"/>
      <c r="P31" s="420">
        <v>225</v>
      </c>
      <c r="Q31" s="414"/>
      <c r="R31" s="412"/>
    </row>
    <row r="32" spans="1:18" s="417" customFormat="1" ht="14.25" customHeight="1">
      <c r="A32" s="410">
        <v>22</v>
      </c>
      <c r="B32" s="418" t="s">
        <v>37</v>
      </c>
      <c r="C32" s="412">
        <f t="shared" si="1"/>
        <v>3.5</v>
      </c>
      <c r="D32" s="412"/>
      <c r="E32" s="419"/>
      <c r="F32" s="413">
        <v>1.5</v>
      </c>
      <c r="G32" s="416">
        <v>2</v>
      </c>
      <c r="H32" s="416"/>
      <c r="I32" s="413">
        <f t="shared" si="2"/>
        <v>391.02</v>
      </c>
      <c r="J32" s="412">
        <f>SUM(K32:O32)</f>
        <v>4.34</v>
      </c>
      <c r="K32" s="412"/>
      <c r="L32" s="416"/>
      <c r="M32" s="416">
        <v>3.5</v>
      </c>
      <c r="N32" s="416">
        <v>0.12</v>
      </c>
      <c r="O32" s="416">
        <v>0.72</v>
      </c>
      <c r="P32" s="420">
        <v>430</v>
      </c>
      <c r="Q32" s="420"/>
      <c r="R32" s="422"/>
    </row>
    <row r="33" spans="1:18" s="431" customFormat="1" ht="20.25" customHeight="1">
      <c r="A33" s="423"/>
      <c r="B33" s="424" t="s">
        <v>38</v>
      </c>
      <c r="C33" s="425">
        <f>SUM(E33:G33)</f>
        <v>93.63000000000001</v>
      </c>
      <c r="D33" s="425"/>
      <c r="E33" s="426">
        <f>SUM(E11:E32)</f>
        <v>15.700000000000001</v>
      </c>
      <c r="F33" s="426">
        <f>SUM(F11:F32)</f>
        <v>40.830000000000005</v>
      </c>
      <c r="G33" s="426">
        <f>SUM(G11:G32)</f>
        <v>37.1</v>
      </c>
      <c r="H33" s="426"/>
      <c r="I33" s="427">
        <f>SUM(I11:I32)</f>
        <v>12046.0116</v>
      </c>
      <c r="J33" s="425">
        <f>SUM(J11:J32)</f>
        <v>21.111999999999995</v>
      </c>
      <c r="K33" s="428">
        <v>0</v>
      </c>
      <c r="L33" s="426">
        <f aca="true" t="shared" si="3" ref="L33:Q33">SUM(L11:L32)</f>
        <v>2.5260000000000002</v>
      </c>
      <c r="M33" s="426">
        <f t="shared" si="3"/>
        <v>14.073</v>
      </c>
      <c r="N33" s="426">
        <f t="shared" si="3"/>
        <v>3.7930000000000006</v>
      </c>
      <c r="O33" s="426">
        <f t="shared" si="3"/>
        <v>0.72</v>
      </c>
      <c r="P33" s="429">
        <f t="shared" si="3"/>
        <v>2972</v>
      </c>
      <c r="Q33" s="429">
        <f t="shared" si="3"/>
        <v>1.3</v>
      </c>
      <c r="R33" s="430"/>
    </row>
    <row r="34" ht="4.5" customHeight="1">
      <c r="A34" s="432"/>
    </row>
    <row r="35" ht="15.75" customHeight="1">
      <c r="A35" s="433"/>
    </row>
    <row r="36" spans="1:17" s="415" customFormat="1" ht="15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7"/>
      <c r="P36" s="438"/>
      <c r="Q36" s="438"/>
    </row>
    <row r="37" spans="1:17" s="415" customFormat="1" ht="15">
      <c r="A37" s="434"/>
      <c r="P37" s="438"/>
      <c r="Q37" s="438"/>
    </row>
    <row r="38" spans="1:17" s="415" customFormat="1" ht="15">
      <c r="A38" s="434"/>
      <c r="P38" s="438"/>
      <c r="Q38" s="438"/>
    </row>
    <row r="39" spans="1:17" s="415" customFormat="1" ht="15">
      <c r="A39" s="434"/>
      <c r="P39" s="438"/>
      <c r="Q39" s="438"/>
    </row>
    <row r="40" spans="1:17" s="415" customFormat="1" ht="31.5" customHeight="1">
      <c r="A40" s="434"/>
      <c r="P40" s="438"/>
      <c r="Q40" s="438"/>
    </row>
    <row r="41" spans="3:9" ht="15.75">
      <c r="C41" s="669"/>
      <c r="D41" s="669"/>
      <c r="E41" s="669"/>
      <c r="F41" s="669"/>
      <c r="G41" s="669"/>
      <c r="H41" s="403"/>
      <c r="I41" s="403"/>
    </row>
  </sheetData>
  <sheetProtection/>
  <mergeCells count="18"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  <mergeCell ref="D9:G9"/>
    <mergeCell ref="C41:G41"/>
    <mergeCell ref="Q8:Q10"/>
    <mergeCell ref="C8:I8"/>
    <mergeCell ref="I9:I10"/>
    <mergeCell ref="K9:O9"/>
    <mergeCell ref="J9:J10"/>
    <mergeCell ref="P9:P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707" t="s">
        <v>44</v>
      </c>
      <c r="C1" s="707"/>
      <c r="D1" s="707"/>
      <c r="E1" s="707"/>
      <c r="F1" s="707"/>
      <c r="G1" s="707"/>
      <c r="H1" s="707"/>
      <c r="K1" s="707" t="s">
        <v>45</v>
      </c>
      <c r="L1" s="707"/>
      <c r="M1" s="707"/>
      <c r="N1" s="707"/>
      <c r="O1" s="707"/>
      <c r="P1" s="707"/>
    </row>
    <row r="2" spans="11:16" ht="15.75">
      <c r="K2" s="708" t="s">
        <v>46</v>
      </c>
      <c r="L2" s="708"/>
      <c r="M2" s="708"/>
      <c r="N2" s="708"/>
      <c r="O2" s="708"/>
      <c r="P2" s="708"/>
    </row>
    <row r="3" spans="1:10" ht="11.25" customHeight="1">
      <c r="A3" s="6"/>
      <c r="B3" s="681"/>
      <c r="C3" s="709"/>
      <c r="D3" s="709"/>
      <c r="E3" s="709"/>
      <c r="F3" s="709"/>
      <c r="G3" s="709"/>
      <c r="H3" s="709"/>
      <c r="I3" s="709"/>
      <c r="J3" s="709"/>
    </row>
    <row r="4" spans="1:17" ht="15.75">
      <c r="A4" s="682" t="s">
        <v>5</v>
      </c>
      <c r="B4" s="682" t="s">
        <v>47</v>
      </c>
      <c r="C4" s="710" t="s">
        <v>48</v>
      </c>
      <c r="D4" s="710"/>
      <c r="E4" s="710"/>
      <c r="F4" s="710"/>
      <c r="G4" s="710"/>
      <c r="H4" s="710"/>
      <c r="I4" s="710"/>
      <c r="J4" s="710"/>
      <c r="K4" s="710" t="s">
        <v>462</v>
      </c>
      <c r="L4" s="710"/>
      <c r="M4" s="710"/>
      <c r="N4" s="710"/>
      <c r="O4" s="710"/>
      <c r="P4" s="710"/>
      <c r="Q4" s="700" t="s">
        <v>49</v>
      </c>
    </row>
    <row r="5" spans="1:17" ht="12.75" customHeight="1">
      <c r="A5" s="683"/>
      <c r="B5" s="683"/>
      <c r="C5" s="694" t="s">
        <v>50</v>
      </c>
      <c r="D5" s="694" t="s">
        <v>51</v>
      </c>
      <c r="E5" s="694"/>
      <c r="F5" s="694"/>
      <c r="G5" s="694"/>
      <c r="H5" s="694"/>
      <c r="I5" s="694"/>
      <c r="J5" s="703" t="s">
        <v>52</v>
      </c>
      <c r="K5" s="704" t="s">
        <v>51</v>
      </c>
      <c r="L5" s="705"/>
      <c r="M5" s="705"/>
      <c r="N5" s="705"/>
      <c r="O5" s="705"/>
      <c r="P5" s="706"/>
      <c r="Q5" s="701"/>
    </row>
    <row r="6" spans="1:17" ht="12.75" customHeight="1">
      <c r="A6" s="683"/>
      <c r="B6" s="683"/>
      <c r="C6" s="694"/>
      <c r="D6" s="694" t="s">
        <v>53</v>
      </c>
      <c r="E6" s="694" t="s">
        <v>54</v>
      </c>
      <c r="F6" s="694"/>
      <c r="G6" s="694" t="s">
        <v>55</v>
      </c>
      <c r="H6" s="694" t="s">
        <v>56</v>
      </c>
      <c r="I6" s="694" t="s">
        <v>57</v>
      </c>
      <c r="J6" s="703"/>
      <c r="K6" s="711" t="s">
        <v>58</v>
      </c>
      <c r="L6" s="683" t="s">
        <v>53</v>
      </c>
      <c r="M6" s="683" t="s">
        <v>54</v>
      </c>
      <c r="N6" s="683" t="s">
        <v>55</v>
      </c>
      <c r="O6" s="683" t="s">
        <v>59</v>
      </c>
      <c r="P6" s="683" t="s">
        <v>57</v>
      </c>
      <c r="Q6" s="701"/>
    </row>
    <row r="7" spans="1:17" ht="12.75" customHeight="1">
      <c r="A7" s="683"/>
      <c r="B7" s="683"/>
      <c r="C7" s="694"/>
      <c r="D7" s="694"/>
      <c r="E7" s="694"/>
      <c r="F7" s="694"/>
      <c r="G7" s="694"/>
      <c r="H7" s="694"/>
      <c r="I7" s="694"/>
      <c r="J7" s="703"/>
      <c r="K7" s="712"/>
      <c r="L7" s="683"/>
      <c r="M7" s="683"/>
      <c r="N7" s="683"/>
      <c r="O7" s="683"/>
      <c r="P7" s="683"/>
      <c r="Q7" s="701"/>
    </row>
    <row r="8" spans="1:17" ht="66" customHeight="1">
      <c r="A8" s="684"/>
      <c r="B8" s="684"/>
      <c r="C8" s="694"/>
      <c r="D8" s="694"/>
      <c r="E8" s="694"/>
      <c r="F8" s="694"/>
      <c r="G8" s="694"/>
      <c r="H8" s="694"/>
      <c r="I8" s="694"/>
      <c r="J8" s="703"/>
      <c r="K8" s="713"/>
      <c r="L8" s="684"/>
      <c r="M8" s="684"/>
      <c r="N8" s="684"/>
      <c r="O8" s="684"/>
      <c r="P8" s="684"/>
      <c r="Q8" s="702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79" t="s">
        <v>88</v>
      </c>
      <c r="C37" s="680"/>
      <c r="D37" s="680"/>
      <c r="E37" s="680"/>
      <c r="F37" s="680"/>
      <c r="G37" s="680"/>
      <c r="H37" s="680"/>
      <c r="I37" s="680"/>
      <c r="J37" s="680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98" t="s">
        <v>89</v>
      </c>
      <c r="B39" s="699"/>
      <c r="C39" s="699"/>
      <c r="D39" s="699"/>
      <c r="E39" s="699"/>
      <c r="F39" s="699"/>
      <c r="G39" s="699"/>
      <c r="H39" s="699"/>
      <c r="I39" s="699"/>
      <c r="J39" s="699"/>
      <c r="K39" s="35"/>
      <c r="L39" s="35"/>
      <c r="M39" s="35"/>
      <c r="N39" s="35"/>
      <c r="O39" s="35"/>
    </row>
    <row r="40" spans="1:15" ht="16.5" customHeight="1" hidden="1">
      <c r="A40" s="6"/>
      <c r="B40" s="681"/>
      <c r="C40" s="681"/>
      <c r="D40" s="681"/>
      <c r="E40" s="681"/>
      <c r="F40" s="681"/>
      <c r="G40" s="681"/>
      <c r="H40" s="681"/>
      <c r="I40" s="681"/>
      <c r="J40" s="681"/>
      <c r="K40" s="35"/>
      <c r="L40" s="35"/>
      <c r="M40" s="35"/>
      <c r="N40" s="35"/>
      <c r="O40" s="35"/>
    </row>
    <row r="41" spans="1:15" ht="16.5" customHeight="1" hidden="1">
      <c r="A41" s="682" t="s">
        <v>5</v>
      </c>
      <c r="B41" s="682" t="s">
        <v>47</v>
      </c>
      <c r="C41" s="685" t="s">
        <v>90</v>
      </c>
      <c r="D41" s="686"/>
      <c r="E41" s="686"/>
      <c r="F41" s="686"/>
      <c r="G41" s="686"/>
      <c r="H41" s="686"/>
      <c r="I41" s="687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83"/>
      <c r="B42" s="683"/>
      <c r="C42" s="688" t="s">
        <v>50</v>
      </c>
      <c r="D42" s="691" t="s">
        <v>92</v>
      </c>
      <c r="E42" s="692"/>
      <c r="F42" s="692"/>
      <c r="G42" s="692"/>
      <c r="H42" s="692"/>
      <c r="I42" s="693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83"/>
      <c r="B43" s="683"/>
      <c r="C43" s="689"/>
      <c r="D43" s="682" t="s">
        <v>94</v>
      </c>
      <c r="E43" s="682" t="s">
        <v>95</v>
      </c>
      <c r="F43" s="682"/>
      <c r="G43" s="682" t="s">
        <v>96</v>
      </c>
      <c r="H43" s="682" t="s">
        <v>97</v>
      </c>
      <c r="I43" s="682" t="s">
        <v>98</v>
      </c>
      <c r="J43" s="695" t="s">
        <v>99</v>
      </c>
      <c r="K43" s="35"/>
      <c r="L43" s="35"/>
      <c r="M43" s="35"/>
      <c r="N43" s="35"/>
      <c r="O43" s="35"/>
    </row>
    <row r="44" spans="1:15" ht="16.5" customHeight="1" hidden="1">
      <c r="A44" s="683"/>
      <c r="B44" s="683"/>
      <c r="C44" s="689"/>
      <c r="D44" s="683"/>
      <c r="E44" s="683"/>
      <c r="F44" s="683"/>
      <c r="G44" s="683"/>
      <c r="H44" s="683"/>
      <c r="I44" s="683"/>
      <c r="J44" s="696"/>
      <c r="K44" s="35"/>
      <c r="L44" s="35"/>
      <c r="M44" s="35"/>
      <c r="N44" s="35"/>
      <c r="O44" s="35"/>
    </row>
    <row r="45" spans="1:15" ht="16.5" customHeight="1" hidden="1">
      <c r="A45" s="684"/>
      <c r="B45" s="684"/>
      <c r="C45" s="690"/>
      <c r="D45" s="684"/>
      <c r="E45" s="684"/>
      <c r="F45" s="684"/>
      <c r="G45" s="684"/>
      <c r="H45" s="684"/>
      <c r="I45" s="684"/>
      <c r="J45" s="697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79" t="s">
        <v>88</v>
      </c>
      <c r="C74" s="680"/>
      <c r="D74" s="680"/>
      <c r="E74" s="680"/>
      <c r="F74" s="680"/>
      <c r="G74" s="680"/>
      <c r="H74" s="680"/>
      <c r="I74" s="680"/>
      <c r="J74" s="680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719" t="s">
        <v>100</v>
      </c>
      <c r="B1" s="719"/>
      <c r="C1" s="719"/>
      <c r="D1" s="719"/>
      <c r="E1" s="719"/>
      <c r="F1" s="72"/>
      <c r="G1" s="72"/>
      <c r="H1" s="72"/>
      <c r="I1" s="719" t="s">
        <v>1</v>
      </c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719" t="s">
        <v>101</v>
      </c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</row>
    <row r="3" spans="1:30" ht="16.5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</row>
    <row r="4" spans="1:30" s="81" customFormat="1" ht="21.75" customHeight="1">
      <c r="A4" s="715" t="s">
        <v>5</v>
      </c>
      <c r="B4" s="715" t="s">
        <v>102</v>
      </c>
      <c r="C4" s="714" t="s">
        <v>103</v>
      </c>
      <c r="D4" s="714"/>
      <c r="E4" s="714"/>
      <c r="F4" s="714"/>
      <c r="G4" s="714"/>
      <c r="H4" s="78"/>
      <c r="I4" s="714" t="s">
        <v>104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8"/>
      <c r="V4" s="78"/>
      <c r="W4" s="715" t="s">
        <v>8</v>
      </c>
      <c r="X4" s="721" t="s">
        <v>105</v>
      </c>
      <c r="Y4" s="714" t="s">
        <v>106</v>
      </c>
      <c r="Z4" s="715" t="s">
        <v>462</v>
      </c>
      <c r="AA4" s="715"/>
      <c r="AB4" s="715"/>
      <c r="AC4" s="715"/>
      <c r="AD4" s="716" t="s">
        <v>107</v>
      </c>
    </row>
    <row r="5" spans="1:30" s="81" customFormat="1" ht="63" customHeight="1">
      <c r="A5" s="715"/>
      <c r="B5" s="715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82" t="s">
        <v>111</v>
      </c>
      <c r="V5" s="82" t="s">
        <v>112</v>
      </c>
      <c r="W5" s="715"/>
      <c r="X5" s="721"/>
      <c r="Y5" s="714"/>
      <c r="Z5" s="78" t="s">
        <v>38</v>
      </c>
      <c r="AA5" s="78" t="s">
        <v>108</v>
      </c>
      <c r="AB5" s="78" t="s">
        <v>109</v>
      </c>
      <c r="AC5" s="78" t="s">
        <v>113</v>
      </c>
      <c r="AD5" s="717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60"/>
      <c r="AB6" s="563"/>
      <c r="AC6" s="566">
        <v>0.1</v>
      </c>
      <c r="AD6" s="569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61"/>
      <c r="AB7" s="564"/>
      <c r="AC7" s="567">
        <v>0.2</v>
      </c>
      <c r="AD7" s="570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61"/>
      <c r="AB8" s="564"/>
      <c r="AC8" s="567"/>
      <c r="AD8" s="570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61"/>
      <c r="AB9" s="564"/>
      <c r="AC9" s="567"/>
      <c r="AD9" s="570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61"/>
      <c r="AB10" s="564"/>
      <c r="AC10" s="567"/>
      <c r="AD10" s="570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61"/>
      <c r="AB11" s="564"/>
      <c r="AC11" s="567"/>
      <c r="AD11" s="570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61"/>
      <c r="AB12" s="564">
        <v>0.1</v>
      </c>
      <c r="AC12" s="567">
        <v>0.3</v>
      </c>
      <c r="AD12" s="570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61"/>
      <c r="AB13" s="564">
        <v>0.4</v>
      </c>
      <c r="AC13" s="567">
        <v>0.3</v>
      </c>
      <c r="AD13" s="570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61">
        <v>0.4</v>
      </c>
      <c r="AB14" s="564">
        <v>0.4</v>
      </c>
      <c r="AC14" s="567"/>
      <c r="AD14" s="570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61"/>
      <c r="AB15" s="564">
        <v>1.1</v>
      </c>
      <c r="AC15" s="567"/>
      <c r="AD15" s="570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61"/>
      <c r="AB16" s="564">
        <v>0.3</v>
      </c>
      <c r="AC16" s="567">
        <v>0.6</v>
      </c>
      <c r="AD16" s="570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61"/>
      <c r="AB17" s="564"/>
      <c r="AC17" s="567"/>
      <c r="AD17" s="570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61"/>
      <c r="AB18" s="564"/>
      <c r="AC18" s="567"/>
      <c r="AD18" s="570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61"/>
      <c r="AB19" s="564">
        <v>0.1</v>
      </c>
      <c r="AC19" s="567">
        <v>0.2</v>
      </c>
      <c r="AD19" s="570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61"/>
      <c r="AB20" s="564"/>
      <c r="AC20" s="567"/>
      <c r="AD20" s="570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61"/>
      <c r="AB21" s="564"/>
      <c r="AC21" s="567"/>
      <c r="AD21" s="570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61"/>
      <c r="AB22" s="564">
        <v>0.06</v>
      </c>
      <c r="AC22" s="567"/>
      <c r="AD22" s="570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61">
        <v>0.1</v>
      </c>
      <c r="AB23" s="564"/>
      <c r="AC23" s="567"/>
      <c r="AD23" s="570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61"/>
      <c r="AB24" s="564"/>
      <c r="AC24" s="567"/>
      <c r="AD24" s="570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61"/>
      <c r="AB25" s="564"/>
      <c r="AC25" s="567"/>
      <c r="AD25" s="570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61"/>
      <c r="AB26" s="564">
        <v>1</v>
      </c>
      <c r="AC26" s="567"/>
      <c r="AD26" s="570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61"/>
      <c r="AB27" s="564">
        <v>0.1</v>
      </c>
      <c r="AC27" s="567"/>
      <c r="AD27" s="570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61">
        <v>0.3</v>
      </c>
      <c r="AB28" s="564"/>
      <c r="AC28" s="567">
        <v>0.4</v>
      </c>
      <c r="AD28" s="570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61"/>
      <c r="AB29" s="564">
        <v>0.1</v>
      </c>
      <c r="AC29" s="567">
        <v>0.1</v>
      </c>
      <c r="AD29" s="570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61"/>
      <c r="AB30" s="564"/>
      <c r="AC30" s="567"/>
      <c r="AD30" s="570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61"/>
      <c r="AB31" s="564"/>
      <c r="AC31" s="567"/>
      <c r="AD31" s="570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61"/>
      <c r="AB32" s="564"/>
      <c r="AC32" s="567"/>
      <c r="AD32" s="570"/>
    </row>
    <row r="33" spans="1:30" s="94" customFormat="1" ht="14.25" customHeight="1">
      <c r="A33" s="585">
        <v>28</v>
      </c>
      <c r="B33" s="586" t="s">
        <v>147</v>
      </c>
      <c r="C33" s="587">
        <f t="shared" si="0"/>
        <v>1</v>
      </c>
      <c r="D33" s="587"/>
      <c r="E33" s="588">
        <v>0.2</v>
      </c>
      <c r="F33" s="588">
        <v>0.3</v>
      </c>
      <c r="G33" s="588">
        <v>0.5</v>
      </c>
      <c r="H33" s="588"/>
      <c r="I33" s="589">
        <v>130.2</v>
      </c>
      <c r="J33" s="590">
        <v>22</v>
      </c>
      <c r="K33" s="591">
        <v>0.3</v>
      </c>
      <c r="L33" s="590"/>
      <c r="M33" s="591"/>
      <c r="N33" s="590"/>
      <c r="O33" s="590"/>
      <c r="P33" s="590"/>
      <c r="Q33" s="590"/>
      <c r="R33" s="590"/>
      <c r="S33" s="590">
        <f t="shared" si="1"/>
        <v>22</v>
      </c>
      <c r="T33" s="591">
        <f t="shared" si="2"/>
        <v>0.3</v>
      </c>
      <c r="U33" s="591"/>
      <c r="V33" s="591"/>
      <c r="W33" s="592"/>
      <c r="X33" s="593"/>
      <c r="Y33" s="592"/>
      <c r="Z33" s="594">
        <f t="shared" si="3"/>
        <v>1</v>
      </c>
      <c r="AA33" s="562"/>
      <c r="AB33" s="565">
        <v>0.1</v>
      </c>
      <c r="AC33" s="568">
        <v>0.9</v>
      </c>
      <c r="AD33" s="571">
        <v>120</v>
      </c>
    </row>
    <row r="34" spans="1:30" s="109" customFormat="1" ht="14.25" customHeight="1">
      <c r="A34" s="718" t="s">
        <v>38</v>
      </c>
      <c r="B34" s="718"/>
      <c r="C34" s="572">
        <f>SUM(C6:C33)</f>
        <v>30</v>
      </c>
      <c r="D34" s="572"/>
      <c r="E34" s="573">
        <f>SUM(E6:E33)</f>
        <v>6</v>
      </c>
      <c r="F34" s="574">
        <f>SUM(F6:F33)</f>
        <v>9</v>
      </c>
      <c r="G34" s="574">
        <f>SUM(G6:G33)</f>
        <v>15</v>
      </c>
      <c r="H34" s="574"/>
      <c r="I34" s="575">
        <f aca="true" t="shared" si="4" ref="I34:U34">SUM(I6:I33)</f>
        <v>3905.9999999999995</v>
      </c>
      <c r="J34" s="576">
        <f t="shared" si="4"/>
        <v>103</v>
      </c>
      <c r="K34" s="576">
        <f t="shared" si="4"/>
        <v>1.2</v>
      </c>
      <c r="L34" s="576">
        <f t="shared" si="4"/>
        <v>0</v>
      </c>
      <c r="M34" s="576">
        <f t="shared" si="4"/>
        <v>0</v>
      </c>
      <c r="N34" s="577">
        <f t="shared" si="4"/>
        <v>0</v>
      </c>
      <c r="O34" s="576">
        <f t="shared" si="4"/>
        <v>0</v>
      </c>
      <c r="P34" s="576">
        <f t="shared" si="4"/>
        <v>0</v>
      </c>
      <c r="Q34" s="576">
        <f t="shared" si="4"/>
        <v>0</v>
      </c>
      <c r="R34" s="578">
        <f t="shared" si="4"/>
        <v>0</v>
      </c>
      <c r="S34" s="576">
        <f t="shared" si="4"/>
        <v>103</v>
      </c>
      <c r="T34" s="578">
        <f t="shared" si="4"/>
        <v>1.2</v>
      </c>
      <c r="U34" s="576">
        <f t="shared" si="4"/>
        <v>850</v>
      </c>
      <c r="V34" s="579"/>
      <c r="W34" s="580"/>
      <c r="X34" s="581"/>
      <c r="Y34" s="582">
        <f aca="true" t="shared" si="5" ref="Y34:AD34">SUM(Y6:Y33)</f>
        <v>8</v>
      </c>
      <c r="Z34" s="583">
        <f t="shared" si="5"/>
        <v>7.659999999999999</v>
      </c>
      <c r="AA34" s="583">
        <f t="shared" si="5"/>
        <v>0.8</v>
      </c>
      <c r="AB34" s="583">
        <f t="shared" si="5"/>
        <v>3.7600000000000002</v>
      </c>
      <c r="AC34" s="583">
        <f t="shared" si="5"/>
        <v>3.1</v>
      </c>
      <c r="AD34" s="584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C4:G4"/>
    <mergeCell ref="I4:T5"/>
    <mergeCell ref="W4:W5"/>
    <mergeCell ref="X4:X5"/>
    <mergeCell ref="Y4:Y5"/>
    <mergeCell ref="Z4:AC4"/>
    <mergeCell ref="AD4:AD5"/>
    <mergeCell ref="A34:B34"/>
    <mergeCell ref="A1:E1"/>
    <mergeCell ref="I1:AD1"/>
    <mergeCell ref="I2:AD2"/>
    <mergeCell ref="A3:AD3"/>
    <mergeCell ref="A4:A5"/>
    <mergeCell ref="B4:B5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1">
      <selection activeCell="Q6" sqref="Q6:Q26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29" t="s">
        <v>149</v>
      </c>
      <c r="D1" s="729"/>
      <c r="E1" s="729"/>
      <c r="F1" s="129"/>
      <c r="G1" s="129"/>
      <c r="H1" s="129"/>
      <c r="I1" s="129"/>
      <c r="J1" s="129"/>
      <c r="K1" s="129"/>
      <c r="L1" s="731" t="s">
        <v>150</v>
      </c>
      <c r="M1" s="731"/>
      <c r="N1" s="731"/>
      <c r="O1" s="731"/>
      <c r="P1" s="731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29" t="s">
        <v>151</v>
      </c>
      <c r="D2" s="729"/>
      <c r="E2" s="729"/>
      <c r="F2" s="129"/>
      <c r="G2" s="129"/>
      <c r="H2" s="129"/>
      <c r="I2" s="129"/>
      <c r="J2" s="129"/>
      <c r="K2" s="129"/>
      <c r="L2" s="730" t="s">
        <v>152</v>
      </c>
      <c r="M2" s="730"/>
      <c r="N2" s="730"/>
      <c r="O2" s="730"/>
      <c r="P2" s="730"/>
      <c r="Q2" s="129"/>
      <c r="R2" s="135"/>
      <c r="S2" s="135"/>
      <c r="T2" s="732" t="s">
        <v>153</v>
      </c>
      <c r="U2" s="729"/>
      <c r="V2" s="729"/>
      <c r="W2" s="729"/>
      <c r="X2" s="729"/>
      <c r="Y2" s="729"/>
      <c r="Z2" s="729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28" t="s">
        <v>5</v>
      </c>
      <c r="B4" s="728" t="s">
        <v>102</v>
      </c>
      <c r="C4" s="733" t="s">
        <v>154</v>
      </c>
      <c r="D4" s="733"/>
      <c r="E4" s="733"/>
      <c r="F4" s="733"/>
      <c r="G4" s="733"/>
      <c r="H4" s="733"/>
      <c r="I4" s="722" t="s">
        <v>155</v>
      </c>
      <c r="J4" s="724" t="s">
        <v>462</v>
      </c>
      <c r="K4" s="724"/>
      <c r="L4" s="724"/>
      <c r="M4" s="724"/>
      <c r="N4" s="724"/>
      <c r="O4" s="724"/>
      <c r="P4" s="724"/>
      <c r="Q4" s="725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34" t="s">
        <v>156</v>
      </c>
    </row>
    <row r="5" spans="1:78" s="155" customFormat="1" ht="120.75" customHeight="1">
      <c r="A5" s="728"/>
      <c r="B5" s="728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723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726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35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36">
        <f aca="true" t="shared" si="0" ref="J6:J26">SUM(L6:P6)</f>
        <v>4.5</v>
      </c>
      <c r="K6" s="162">
        <f aca="true" t="shared" si="1" ref="K6:K27">SUM(L6:P6)</f>
        <v>4.5</v>
      </c>
      <c r="L6" s="163"/>
      <c r="M6" s="617">
        <v>1.5</v>
      </c>
      <c r="N6" s="617">
        <v>3</v>
      </c>
      <c r="O6" s="617"/>
      <c r="P6" s="163"/>
      <c r="Q6" s="620">
        <v>740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896.1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35">
        <f t="shared" si="0"/>
        <v>5.2</v>
      </c>
      <c r="K7" s="178">
        <f t="shared" si="1"/>
        <v>5.2</v>
      </c>
      <c r="L7" s="179"/>
      <c r="M7" s="618">
        <v>0.25</v>
      </c>
      <c r="N7" s="618">
        <v>4.55</v>
      </c>
      <c r="O7" s="618">
        <v>0.4</v>
      </c>
      <c r="P7" s="179"/>
      <c r="Q7" s="621">
        <v>907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1049.5</v>
      </c>
      <c r="AF7" s="184">
        <f>'[2]Sheet1'!$G$44+'[2]Sheet1'!$G$52+'[2]Sheet1'!$G$44</f>
        <v>117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35">
        <f t="shared" si="0"/>
        <v>2.35</v>
      </c>
      <c r="K8" s="178">
        <f t="shared" si="1"/>
        <v>2.35</v>
      </c>
      <c r="L8" s="179"/>
      <c r="M8" s="618">
        <v>0.2</v>
      </c>
      <c r="N8" s="618">
        <v>2.15</v>
      </c>
      <c r="O8" s="618"/>
      <c r="P8" s="179"/>
      <c r="Q8" s="621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35">
        <f t="shared" si="0"/>
        <v>5</v>
      </c>
      <c r="K9" s="178">
        <f t="shared" si="1"/>
        <v>5</v>
      </c>
      <c r="L9" s="179"/>
      <c r="M9" s="618">
        <v>1</v>
      </c>
      <c r="N9" s="618">
        <v>4</v>
      </c>
      <c r="O9" s="618"/>
      <c r="P9" s="179"/>
      <c r="Q9" s="621">
        <v>650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754.8</v>
      </c>
      <c r="AF9" s="184">
        <f>'[2]Sheet1'!$G$22+'[2]Sheet1'!$G$23</f>
        <v>30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35">
        <f t="shared" si="0"/>
        <v>0.3</v>
      </c>
      <c r="K10" s="178">
        <f t="shared" si="1"/>
        <v>0.3</v>
      </c>
      <c r="L10" s="179"/>
      <c r="M10" s="618">
        <v>0.3</v>
      </c>
      <c r="N10" s="618"/>
      <c r="O10" s="618"/>
      <c r="P10" s="179"/>
      <c r="Q10" s="621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152.10000000000002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35">
        <f t="shared" si="0"/>
        <v>2.04</v>
      </c>
      <c r="K11" s="178">
        <f t="shared" si="1"/>
        <v>2.04</v>
      </c>
      <c r="L11" s="179"/>
      <c r="M11" s="618"/>
      <c r="N11" s="618">
        <v>2.04</v>
      </c>
      <c r="O11" s="618"/>
      <c r="P11" s="179"/>
      <c r="Q11" s="621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'[2]Sheet1'!$G$27+'[2]Sheet1'!$G$32+'[2]Sheet1'!$G$39+33</f>
        <v>132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35">
        <f t="shared" si="0"/>
        <v>3</v>
      </c>
      <c r="K12" s="178">
        <f t="shared" si="1"/>
        <v>3</v>
      </c>
      <c r="L12" s="179"/>
      <c r="M12" s="618"/>
      <c r="N12" s="618">
        <v>3</v>
      </c>
      <c r="O12" s="618"/>
      <c r="P12" s="179"/>
      <c r="Q12" s="621">
        <v>400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467.8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35">
        <f t="shared" si="0"/>
        <v>1.3</v>
      </c>
      <c r="K13" s="178">
        <f t="shared" si="1"/>
        <v>1.3</v>
      </c>
      <c r="L13" s="179"/>
      <c r="M13" s="618"/>
      <c r="N13" s="618">
        <v>1.3</v>
      </c>
      <c r="O13" s="618"/>
      <c r="P13" s="179"/>
      <c r="Q13" s="621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35">
        <f t="shared" si="0"/>
        <v>1.5</v>
      </c>
      <c r="K14" s="178">
        <f t="shared" si="1"/>
        <v>1.5</v>
      </c>
      <c r="L14" s="179"/>
      <c r="M14" s="618"/>
      <c r="N14" s="618">
        <v>1.5</v>
      </c>
      <c r="O14" s="618"/>
      <c r="P14" s="179"/>
      <c r="Q14" s="621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35">
        <f t="shared" si="0"/>
        <v>2.06</v>
      </c>
      <c r="K15" s="178">
        <f t="shared" si="1"/>
        <v>2.06</v>
      </c>
      <c r="L15" s="179"/>
      <c r="M15" s="618">
        <v>0.76</v>
      </c>
      <c r="N15" s="618">
        <v>1.3</v>
      </c>
      <c r="O15" s="618"/>
      <c r="P15" s="179"/>
      <c r="Q15" s="621">
        <v>297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345.86</v>
      </c>
      <c r="AF15" s="184">
        <f>'[2]Sheet1'!$G$37</f>
        <v>33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35">
        <f t="shared" si="0"/>
        <v>2.5690000000000004</v>
      </c>
      <c r="K16" s="178">
        <f t="shared" si="1"/>
        <v>2.5690000000000004</v>
      </c>
      <c r="L16" s="179"/>
      <c r="M16" s="618"/>
      <c r="N16" s="618">
        <v>2.369</v>
      </c>
      <c r="O16" s="618">
        <v>0.2</v>
      </c>
      <c r="P16" s="179"/>
      <c r="Q16" s="621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397.769</v>
      </c>
      <c r="AF16" s="196">
        <f>'[2]Sheet1'!$G$43+'[2]Sheet1'!$G$34+'[2]Sheet1'!$G$11+'[2]Sheet1'!$G$6+33</f>
        <v>129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35">
        <f t="shared" si="0"/>
        <v>0.6</v>
      </c>
      <c r="K17" s="178">
        <f t="shared" si="1"/>
        <v>0.6</v>
      </c>
      <c r="L17" s="179"/>
      <c r="M17" s="618"/>
      <c r="N17" s="618">
        <v>0.6</v>
      </c>
      <c r="O17" s="618"/>
      <c r="P17" s="179"/>
      <c r="Q17" s="621">
        <v>225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248.2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35">
        <f t="shared" si="0"/>
        <v>1.8</v>
      </c>
      <c r="K18" s="178">
        <f t="shared" si="1"/>
        <v>1.8</v>
      </c>
      <c r="L18" s="179"/>
      <c r="M18" s="618">
        <v>0.3</v>
      </c>
      <c r="N18" s="618">
        <v>1.5</v>
      </c>
      <c r="O18" s="618"/>
      <c r="P18" s="179"/>
      <c r="Q18" s="621">
        <f>185+33</f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'[2]Sheet1'!$G$8+'[2]Sheet1'!$G$15+'[2]Sheet1'!$G$20+'[2]Sheet1'!$G$36+33</f>
        <v>147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35">
        <f t="shared" si="0"/>
        <v>3.6</v>
      </c>
      <c r="K19" s="178">
        <f t="shared" si="1"/>
        <v>3.6</v>
      </c>
      <c r="L19" s="179"/>
      <c r="M19" s="618">
        <v>3.25</v>
      </c>
      <c r="N19" s="618">
        <v>0.35</v>
      </c>
      <c r="O19" s="618"/>
      <c r="P19" s="179"/>
      <c r="Q19" s="621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'[2]Sheet1'!$G$5+'[2]Sheet1'!$G$16+'[2]Sheet1'!$G$17+'[2]Sheet1'!$G$18+'[2]Sheet1'!$G$21+'[2]Sheet1'!$G$26+'[2]Sheet1'!$G$33+'[2]Sheet1'!$G$42+'[2]Sheet1'!$G$54+'[2]Sheet1'!$G$55</f>
        <v>216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35">
        <f t="shared" si="0"/>
        <v>3.6999999999999997</v>
      </c>
      <c r="K20" s="178">
        <f t="shared" si="1"/>
        <v>3.6999999999999997</v>
      </c>
      <c r="L20" s="179"/>
      <c r="M20" s="618"/>
      <c r="N20" s="618">
        <v>2.3</v>
      </c>
      <c r="O20" s="618">
        <v>1.4</v>
      </c>
      <c r="P20" s="179"/>
      <c r="Q20" s="621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541.9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35">
        <f t="shared" si="0"/>
        <v>2.5</v>
      </c>
      <c r="K21" s="178">
        <f t="shared" si="1"/>
        <v>2.5</v>
      </c>
      <c r="L21" s="179"/>
      <c r="M21" s="618"/>
      <c r="N21" s="618">
        <v>2.5</v>
      </c>
      <c r="O21" s="618"/>
      <c r="P21" s="179"/>
      <c r="Q21" s="621">
        <v>335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371.6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35">
        <f t="shared" si="0"/>
        <v>1.5</v>
      </c>
      <c r="K22" s="178">
        <f t="shared" si="1"/>
        <v>1.5</v>
      </c>
      <c r="L22" s="179"/>
      <c r="M22" s="618"/>
      <c r="N22" s="618">
        <v>1.5</v>
      </c>
      <c r="O22" s="618"/>
      <c r="P22" s="179"/>
      <c r="Q22" s="621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35">
        <f t="shared" si="0"/>
        <v>0.76</v>
      </c>
      <c r="K23" s="178">
        <f t="shared" si="1"/>
        <v>0.76</v>
      </c>
      <c r="L23" s="179"/>
      <c r="M23" s="618">
        <v>0.34</v>
      </c>
      <c r="N23" s="618">
        <v>0.42</v>
      </c>
      <c r="O23" s="618"/>
      <c r="P23" s="179"/>
      <c r="Q23" s="621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35">
        <f t="shared" si="0"/>
        <v>3.8</v>
      </c>
      <c r="K24" s="178">
        <f t="shared" si="1"/>
        <v>3.8</v>
      </c>
      <c r="L24" s="179"/>
      <c r="M24" s="618">
        <v>0.3</v>
      </c>
      <c r="N24" s="618">
        <v>3.5</v>
      </c>
      <c r="O24" s="618"/>
      <c r="P24" s="179"/>
      <c r="Q24" s="621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35">
        <f t="shared" si="0"/>
        <v>1.6</v>
      </c>
      <c r="K25" s="178">
        <f t="shared" si="1"/>
        <v>1.6</v>
      </c>
      <c r="L25" s="179"/>
      <c r="M25" s="618">
        <v>0.8</v>
      </c>
      <c r="N25" s="618">
        <v>0.8</v>
      </c>
      <c r="O25" s="618"/>
      <c r="P25" s="179"/>
      <c r="Q25" s="621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276.40000000000003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35">
        <f t="shared" si="0"/>
        <v>1.5750000000000002</v>
      </c>
      <c r="K26" s="178">
        <f t="shared" si="1"/>
        <v>1.5750000000000002</v>
      </c>
      <c r="L26" s="179"/>
      <c r="M26" s="618">
        <v>1.34</v>
      </c>
      <c r="N26" s="619">
        <v>0.235</v>
      </c>
      <c r="O26" s="618"/>
      <c r="P26" s="179"/>
      <c r="Q26" s="621">
        <v>310</v>
      </c>
      <c r="R26" s="201">
        <f t="shared" si="9"/>
        <v>120.87899999999999</v>
      </c>
      <c r="S26" s="202">
        <f t="shared" si="2"/>
        <v>0</v>
      </c>
      <c r="T26" s="202">
        <f t="shared" si="3"/>
        <v>77.868</v>
      </c>
      <c r="U26" s="202">
        <f t="shared" si="4"/>
        <v>33.516</v>
      </c>
      <c r="V26" s="202">
        <f t="shared" si="5"/>
        <v>0</v>
      </c>
      <c r="W26" s="202">
        <f>'[1]Dang ky kenh 2014'!$G$8</f>
        <v>9.495</v>
      </c>
      <c r="X26" s="203">
        <f t="shared" si="10"/>
        <v>40.3</v>
      </c>
      <c r="Y26" s="203">
        <f t="shared" si="11"/>
        <v>40.293</v>
      </c>
      <c r="Z26" s="202">
        <f t="shared" si="12"/>
        <v>0</v>
      </c>
      <c r="AA26" s="202">
        <f t="shared" si="13"/>
        <v>25.956000000000003</v>
      </c>
      <c r="AB26" s="202">
        <f t="shared" si="14"/>
        <v>11.172</v>
      </c>
      <c r="AC26" s="202">
        <f t="shared" si="15"/>
        <v>0</v>
      </c>
      <c r="AD26" s="202">
        <f>'[1]Dang ky kenh 2014'!$H$8</f>
        <v>3.165</v>
      </c>
      <c r="AE26" s="204">
        <f t="shared" si="6"/>
        <v>351.875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19" customFormat="1" ht="15.75" customHeight="1">
      <c r="A27" s="205"/>
      <c r="B27" s="206" t="s">
        <v>185</v>
      </c>
      <c r="C27" s="207">
        <f t="shared" si="7"/>
        <v>115.46699999999998</v>
      </c>
      <c r="D27" s="208">
        <f aca="true" t="shared" si="16" ref="D27:I27">SUM(D6:D26)</f>
        <v>1</v>
      </c>
      <c r="E27" s="208">
        <f t="shared" si="16"/>
        <v>19.573</v>
      </c>
      <c r="F27" s="208">
        <f t="shared" si="16"/>
        <v>83.484</v>
      </c>
      <c r="G27" s="208">
        <f t="shared" si="16"/>
        <v>9.009999999999998</v>
      </c>
      <c r="H27" s="208">
        <f t="shared" si="16"/>
        <v>2.4</v>
      </c>
      <c r="I27" s="209">
        <f t="shared" si="16"/>
        <v>14221.443600000002</v>
      </c>
      <c r="J27" s="210">
        <f>SUM(J6:J26)</f>
        <v>51.254</v>
      </c>
      <c r="K27" s="211">
        <f t="shared" si="1"/>
        <v>51.254000000000005</v>
      </c>
      <c r="L27" s="208">
        <f aca="true" t="shared" si="17" ref="L27:Q27">SUM(L6:L26)</f>
        <v>0</v>
      </c>
      <c r="M27" s="208">
        <f t="shared" si="17"/>
        <v>10.34</v>
      </c>
      <c r="N27" s="212">
        <f t="shared" si="17"/>
        <v>38.914</v>
      </c>
      <c r="O27" s="212">
        <f t="shared" si="17"/>
        <v>2</v>
      </c>
      <c r="P27" s="212">
        <f t="shared" si="17"/>
        <v>0</v>
      </c>
      <c r="Q27" s="213">
        <f t="shared" si="17"/>
        <v>7518</v>
      </c>
      <c r="R27" s="214">
        <f aca="true" t="shared" si="18" ref="R27:AF27">SUM(R6:R26)</f>
        <v>3585.6456719999996</v>
      </c>
      <c r="S27" s="214">
        <f t="shared" si="18"/>
        <v>29.200499999999998</v>
      </c>
      <c r="T27" s="214">
        <f t="shared" si="18"/>
        <v>508.036788</v>
      </c>
      <c r="U27" s="214">
        <f t="shared" si="18"/>
        <v>2798.0497440000004</v>
      </c>
      <c r="V27" s="214">
        <f t="shared" si="18"/>
        <v>150.98958</v>
      </c>
      <c r="W27" s="214">
        <f t="shared" si="18"/>
        <v>99.36905999999999</v>
      </c>
      <c r="X27" s="214">
        <f t="shared" si="18"/>
        <v>1195.1000000000001</v>
      </c>
      <c r="Y27" s="214">
        <f t="shared" si="18"/>
        <v>1195.215224</v>
      </c>
      <c r="Z27" s="214">
        <f t="shared" si="18"/>
        <v>9.7335</v>
      </c>
      <c r="AA27" s="214">
        <f t="shared" si="18"/>
        <v>169.345596</v>
      </c>
      <c r="AB27" s="214">
        <f t="shared" si="18"/>
        <v>932.6832479999999</v>
      </c>
      <c r="AC27" s="214">
        <f t="shared" si="18"/>
        <v>50.32986</v>
      </c>
      <c r="AD27" s="214">
        <f t="shared" si="18"/>
        <v>33.123020000000004</v>
      </c>
      <c r="AE27" s="214">
        <f t="shared" si="18"/>
        <v>8764.354</v>
      </c>
      <c r="AF27" s="214">
        <f t="shared" si="18"/>
        <v>1402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216"/>
      <c r="AZ27" s="216"/>
      <c r="BA27" s="217"/>
      <c r="BB27" s="217"/>
      <c r="BC27" s="217"/>
      <c r="BD27" s="216"/>
      <c r="BE27" s="216"/>
      <c r="BF27" s="216"/>
      <c r="BG27" s="216"/>
      <c r="BH27" s="216"/>
      <c r="BI27" s="216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</row>
    <row r="28" spans="1:78" s="219" customFormat="1" ht="15.75" customHeight="1">
      <c r="A28" s="736"/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220"/>
      <c r="AS28" s="221"/>
      <c r="AT28" s="221"/>
      <c r="AU28" s="221"/>
      <c r="AV28" s="221"/>
      <c r="AW28" s="221"/>
      <c r="BA28" s="222"/>
      <c r="BB28" s="222"/>
      <c r="BC28" s="222"/>
      <c r="BG28" s="222"/>
      <c r="BH28" s="222"/>
      <c r="BI28" s="222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</row>
    <row r="29" spans="1:78" s="219" customFormat="1" ht="16.5" customHeight="1">
      <c r="A29" s="223" t="s">
        <v>186</v>
      </c>
      <c r="B29" s="224"/>
      <c r="C29" s="224"/>
      <c r="D29" s="224"/>
      <c r="E29" s="224"/>
      <c r="J29" s="727">
        <f>+L27+M27+N27+O27+P27</f>
        <v>51.254000000000005</v>
      </c>
      <c r="K29" s="727"/>
      <c r="L29" s="727"/>
      <c r="M29" s="224"/>
      <c r="N29" s="224"/>
      <c r="O29" s="224"/>
      <c r="P29" s="224"/>
      <c r="Q29" s="224"/>
      <c r="R29" s="224"/>
      <c r="S29" s="224"/>
      <c r="T29" s="224"/>
      <c r="U29" s="224"/>
      <c r="Z29" s="727" t="s">
        <v>187</v>
      </c>
      <c r="AA29" s="727"/>
      <c r="AB29" s="727"/>
      <c r="AC29" s="727"/>
      <c r="AD29" s="727"/>
      <c r="AS29" s="221"/>
      <c r="AT29" s="221"/>
      <c r="AU29" s="221"/>
      <c r="AV29" s="221"/>
      <c r="AW29" s="221"/>
      <c r="AX29" s="225"/>
      <c r="AY29" s="225"/>
      <c r="AZ29" s="225"/>
      <c r="BA29" s="226"/>
      <c r="BB29" s="226"/>
      <c r="BC29" s="226"/>
      <c r="BD29" s="225"/>
      <c r="BE29" s="225"/>
      <c r="BF29" s="225"/>
      <c r="BG29" s="226"/>
      <c r="BH29" s="226"/>
      <c r="BI29" s="226"/>
      <c r="BP29" s="221"/>
      <c r="BQ29" s="221"/>
      <c r="BR29" s="221"/>
      <c r="BS29" s="221"/>
      <c r="BT29" s="221"/>
      <c r="BU29" s="225"/>
      <c r="BV29" s="225"/>
      <c r="BW29" s="225"/>
      <c r="BX29" s="225"/>
      <c r="BY29" s="225"/>
      <c r="BZ29" s="225"/>
    </row>
    <row r="30" spans="2:61" ht="13.5" customHeight="1">
      <c r="B30" s="727"/>
      <c r="C30" s="727"/>
      <c r="D30" s="727"/>
      <c r="E30" s="727"/>
      <c r="F30" s="219"/>
      <c r="G30" s="219"/>
      <c r="H30" s="219"/>
      <c r="I30" s="219"/>
      <c r="J30" s="727"/>
      <c r="K30" s="727"/>
      <c r="L30" s="727"/>
      <c r="M30" s="224"/>
      <c r="N30" s="224"/>
      <c r="O30" s="224"/>
      <c r="P30" s="727"/>
      <c r="Q30" s="727"/>
      <c r="R30" s="727"/>
      <c r="S30" s="727"/>
      <c r="T30" s="727"/>
      <c r="U30" s="224"/>
      <c r="V30" s="219"/>
      <c r="W30" s="219"/>
      <c r="X30" s="219"/>
      <c r="Y30" s="219"/>
      <c r="Z30" s="727" t="s">
        <v>188</v>
      </c>
      <c r="AA30" s="727"/>
      <c r="AB30" s="727"/>
      <c r="AC30" s="727"/>
      <c r="AD30" s="727"/>
      <c r="AX30" s="122"/>
      <c r="AY30" s="122"/>
      <c r="AZ30" s="122"/>
      <c r="BA30" s="227"/>
      <c r="BB30" s="227"/>
      <c r="BC30" s="227"/>
      <c r="BD30" s="122"/>
      <c r="BE30" s="122"/>
      <c r="BF30" s="122"/>
      <c r="BG30" s="227"/>
      <c r="BH30" s="227"/>
      <c r="BI30" s="227"/>
    </row>
    <row r="31" spans="1:61" ht="15.75">
      <c r="A31" s="219"/>
      <c r="B31" s="224"/>
      <c r="C31" s="224"/>
      <c r="D31" s="224"/>
      <c r="E31" s="224"/>
      <c r="F31" s="219"/>
      <c r="G31" s="219"/>
      <c r="H31" s="219"/>
      <c r="I31" s="219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9"/>
      <c r="W31" s="219"/>
      <c r="X31" s="219"/>
      <c r="Y31" s="219"/>
      <c r="Z31" s="727" t="s">
        <v>189</v>
      </c>
      <c r="AA31" s="727"/>
      <c r="AB31" s="727"/>
      <c r="AC31" s="727"/>
      <c r="AD31" s="727"/>
      <c r="AX31" s="219"/>
      <c r="AY31" s="219"/>
      <c r="AZ31" s="219"/>
      <c r="BA31" s="222"/>
      <c r="BB31" s="222"/>
      <c r="BC31" s="222"/>
      <c r="BD31" s="219"/>
      <c r="BE31" s="219"/>
      <c r="BF31" s="219"/>
      <c r="BG31" s="222"/>
      <c r="BH31" s="222"/>
      <c r="BI31" s="222"/>
    </row>
    <row r="32" spans="2:78" s="228" customFormat="1" ht="16.5">
      <c r="B32" s="224"/>
      <c r="C32" s="224"/>
      <c r="D32" s="224"/>
      <c r="E32" s="224"/>
      <c r="F32" s="219"/>
      <c r="G32" s="219"/>
      <c r="H32" s="219"/>
      <c r="I32" s="219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19"/>
      <c r="W32" s="219"/>
      <c r="X32" s="219"/>
      <c r="Y32" s="219"/>
      <c r="Z32" s="224"/>
      <c r="AA32" s="224"/>
      <c r="AB32" s="224"/>
      <c r="AC32" s="224"/>
      <c r="AD32" s="219"/>
      <c r="AS32" s="229"/>
      <c r="AT32" s="229"/>
      <c r="AU32" s="229"/>
      <c r="AV32" s="229"/>
      <c r="AW32" s="229"/>
      <c r="AX32" s="219"/>
      <c r="AY32" s="219"/>
      <c r="AZ32" s="219"/>
      <c r="BA32" s="222"/>
      <c r="BB32" s="222"/>
      <c r="BC32" s="222"/>
      <c r="BD32" s="219"/>
      <c r="BE32" s="219"/>
      <c r="BF32" s="219"/>
      <c r="BG32" s="222"/>
      <c r="BH32" s="222"/>
      <c r="BI32" s="222"/>
      <c r="BP32" s="229"/>
      <c r="BQ32" s="229"/>
      <c r="BR32" s="229"/>
      <c r="BS32" s="229"/>
      <c r="BT32" s="229"/>
      <c r="BU32" s="219"/>
      <c r="BV32" s="219"/>
      <c r="BW32" s="219"/>
      <c r="BX32" s="219"/>
      <c r="BY32" s="219"/>
      <c r="BZ32" s="219"/>
    </row>
    <row r="33" spans="2:61" ht="23.25" customHeight="1">
      <c r="B33" s="224"/>
      <c r="C33" s="224"/>
      <c r="D33" s="224"/>
      <c r="E33" s="224"/>
      <c r="F33" s="219"/>
      <c r="G33" s="219"/>
      <c r="H33" s="219"/>
      <c r="I33" s="219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19"/>
      <c r="W33" s="219"/>
      <c r="X33" s="219"/>
      <c r="Y33" s="219"/>
      <c r="Z33" s="224"/>
      <c r="AA33" s="224"/>
      <c r="AB33" s="224"/>
      <c r="AC33" s="224"/>
      <c r="AD33" s="225"/>
      <c r="AX33" s="228"/>
      <c r="AY33" s="230"/>
      <c r="AZ33" s="122"/>
      <c r="BA33" s="231"/>
      <c r="BB33" s="232"/>
      <c r="BC33" s="227"/>
      <c r="BD33" s="228"/>
      <c r="BE33" s="230"/>
      <c r="BF33" s="122"/>
      <c r="BG33" s="231"/>
      <c r="BH33" s="232"/>
      <c r="BI33" s="227"/>
    </row>
    <row r="34" spans="2:61" ht="27.75" customHeight="1">
      <c r="B34" s="727"/>
      <c r="C34" s="727"/>
      <c r="D34" s="727"/>
      <c r="E34" s="727"/>
      <c r="F34" s="219"/>
      <c r="G34" s="219"/>
      <c r="H34" s="219"/>
      <c r="I34" s="219"/>
      <c r="J34" s="233"/>
      <c r="K34" s="233"/>
      <c r="L34" s="233"/>
      <c r="M34" s="224"/>
      <c r="N34" s="224"/>
      <c r="O34" s="224"/>
      <c r="P34" s="727"/>
      <c r="Q34" s="727"/>
      <c r="R34" s="727"/>
      <c r="S34" s="727"/>
      <c r="T34" s="727"/>
      <c r="U34" s="224"/>
      <c r="V34" s="219"/>
      <c r="W34" s="219"/>
      <c r="X34" s="219"/>
      <c r="Y34" s="219"/>
      <c r="Z34" s="219"/>
      <c r="AA34" s="219"/>
      <c r="AB34" s="219"/>
      <c r="AC34" s="219"/>
      <c r="AD34" s="219"/>
      <c r="AX34" s="122"/>
      <c r="AY34" s="122"/>
      <c r="AZ34" s="122"/>
      <c r="BA34" s="227"/>
      <c r="BB34" s="227"/>
      <c r="BC34" s="227"/>
      <c r="BD34" s="122"/>
      <c r="BE34" s="122"/>
      <c r="BF34" s="122"/>
      <c r="BG34" s="227"/>
      <c r="BH34" s="227"/>
      <c r="BI34" s="227"/>
    </row>
    <row r="35" spans="1:78" ht="32.25" customHeight="1">
      <c r="A35" s="234"/>
      <c r="B35" s="235" t="s">
        <v>190</v>
      </c>
      <c r="C35" s="236"/>
      <c r="D35" s="236"/>
      <c r="E35" s="236"/>
      <c r="F35" s="228"/>
      <c r="G35" s="228"/>
      <c r="H35" s="228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727" t="s">
        <v>191</v>
      </c>
      <c r="AA35" s="727"/>
      <c r="AB35" s="727"/>
      <c r="AC35" s="727"/>
      <c r="AD35" s="727"/>
      <c r="AX35" s="234"/>
      <c r="AY35" s="234"/>
      <c r="AZ35" s="234"/>
      <c r="BA35" s="237"/>
      <c r="BB35" s="237"/>
      <c r="BC35" s="237"/>
      <c r="BD35" s="234"/>
      <c r="BE35" s="234"/>
      <c r="BF35" s="234"/>
      <c r="BG35" s="237"/>
      <c r="BH35" s="237"/>
      <c r="BI35" s="237"/>
      <c r="BU35" s="125"/>
      <c r="BV35" s="125"/>
      <c r="BW35" s="125"/>
      <c r="BX35" s="125"/>
      <c r="BY35" s="125"/>
      <c r="BZ35" s="125"/>
    </row>
    <row r="36" spans="2:78" ht="15">
      <c r="B36" s="238"/>
      <c r="BU36" s="238"/>
      <c r="BV36" s="238"/>
      <c r="BW36" s="238"/>
      <c r="BX36" s="238"/>
      <c r="BY36" s="238"/>
      <c r="BZ36" s="238"/>
    </row>
    <row r="38" spans="2:78" s="219" customFormat="1" ht="15">
      <c r="B38" s="239"/>
      <c r="C38" s="124"/>
      <c r="D38" s="124"/>
      <c r="F38" s="124"/>
      <c r="G38" s="124"/>
      <c r="H38" s="124"/>
      <c r="I38" s="124"/>
      <c r="J38" s="124"/>
      <c r="K38" s="124"/>
      <c r="L38" s="124"/>
      <c r="M38" s="240"/>
      <c r="N38" s="124"/>
      <c r="O38" s="124"/>
      <c r="P38" s="124"/>
      <c r="Q38" s="124"/>
      <c r="R38" s="124"/>
      <c r="S38" s="124"/>
      <c r="T38" s="240"/>
      <c r="U38" s="124"/>
      <c r="V38" s="124"/>
      <c r="W38" s="124"/>
      <c r="X38" s="124"/>
      <c r="Y38" s="124"/>
      <c r="Z38" s="124"/>
      <c r="AA38" s="240"/>
      <c r="AB38" s="124"/>
      <c r="AC38" s="124"/>
      <c r="AD38" s="124"/>
      <c r="AS38" s="221"/>
      <c r="AT38" s="221"/>
      <c r="AU38" s="221"/>
      <c r="AV38" s="221"/>
      <c r="AW38" s="221"/>
      <c r="AX38" s="124"/>
      <c r="AY38" s="240"/>
      <c r="AZ38" s="124"/>
      <c r="BA38" s="241"/>
      <c r="BB38" s="242"/>
      <c r="BC38" s="241"/>
      <c r="BD38" s="124"/>
      <c r="BE38" s="240"/>
      <c r="BF38" s="124"/>
      <c r="BG38" s="241"/>
      <c r="BH38" s="242"/>
      <c r="BI38" s="241"/>
      <c r="BP38" s="221"/>
      <c r="BQ38" s="221"/>
      <c r="BR38" s="221"/>
      <c r="BS38" s="221"/>
      <c r="BT38" s="221"/>
      <c r="BU38" s="122"/>
      <c r="BV38" s="122"/>
      <c r="BW38" s="122"/>
      <c r="BX38" s="122"/>
      <c r="BY38" s="122"/>
      <c r="BZ38" s="122"/>
    </row>
    <row r="48" spans="2:4" ht="15">
      <c r="B48" s="243">
        <f>SUM(B49:B51)</f>
        <v>2.9899999999999998</v>
      </c>
      <c r="C48" s="122"/>
      <c r="D48" s="122"/>
    </row>
    <row r="49" ht="15">
      <c r="B49" s="243">
        <v>2.445</v>
      </c>
    </row>
    <row r="50" ht="15">
      <c r="B50" s="243">
        <v>0.545</v>
      </c>
    </row>
  </sheetData>
  <sheetProtection/>
  <mergeCells count="23">
    <mergeCell ref="AE4:AE5"/>
    <mergeCell ref="A28:AC28"/>
    <mergeCell ref="J29:L29"/>
    <mergeCell ref="Z29:AD29"/>
    <mergeCell ref="B30:E30"/>
    <mergeCell ref="J30:L30"/>
    <mergeCell ref="P30:T30"/>
    <mergeCell ref="Z35:AD35"/>
    <mergeCell ref="C1:E1"/>
    <mergeCell ref="C2:E2"/>
    <mergeCell ref="L2:P2"/>
    <mergeCell ref="L1:P1"/>
    <mergeCell ref="T2:Z2"/>
    <mergeCell ref="C4:H4"/>
    <mergeCell ref="Z31:AD31"/>
    <mergeCell ref="B34:E34"/>
    <mergeCell ref="P34:T34"/>
    <mergeCell ref="I4:I5"/>
    <mergeCell ref="J4:P4"/>
    <mergeCell ref="Q4:Q5"/>
    <mergeCell ref="Z30:AD30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">
      <selection activeCell="W34" sqref="W34"/>
    </sheetView>
  </sheetViews>
  <sheetFormatPr defaultColWidth="7.875" defaultRowHeight="15.75"/>
  <cols>
    <col min="1" max="1" width="5.50390625" style="244" customWidth="1"/>
    <col min="2" max="2" width="14.875" style="244" customWidth="1"/>
    <col min="3" max="3" width="9.125" style="244" customWidth="1"/>
    <col min="4" max="4" width="7.50390625" style="244" customWidth="1"/>
    <col min="5" max="5" width="8.75390625" style="244" customWidth="1"/>
    <col min="6" max="6" width="8.875" style="244" customWidth="1"/>
    <col min="7" max="7" width="7.50390625" style="244" customWidth="1"/>
    <col min="8" max="8" width="6.00390625" style="244" hidden="1" customWidth="1"/>
    <col min="9" max="9" width="6.75390625" style="244" hidden="1" customWidth="1"/>
    <col min="10" max="10" width="5.75390625" style="244" hidden="1" customWidth="1"/>
    <col min="11" max="11" width="6.125" style="244" hidden="1" customWidth="1"/>
    <col min="12" max="12" width="5.875" style="244" hidden="1" customWidth="1"/>
    <col min="13" max="13" width="5.75390625" style="244" hidden="1" customWidth="1"/>
    <col min="14" max="14" width="5.875" style="244" hidden="1" customWidth="1"/>
    <col min="15" max="15" width="6.375" style="244" hidden="1" customWidth="1"/>
    <col min="16" max="16" width="11.375" style="244" customWidth="1"/>
    <col min="17" max="21" width="7.125" style="283" customWidth="1"/>
    <col min="22" max="22" width="5.75390625" style="244" hidden="1" customWidth="1"/>
    <col min="23" max="23" width="7.50390625" style="244" customWidth="1"/>
    <col min="24" max="24" width="7.00390625" style="244" customWidth="1"/>
    <col min="25" max="25" width="9.625" style="244" bestFit="1" customWidth="1"/>
    <col min="26" max="26" width="0" style="244" hidden="1" customWidth="1"/>
    <col min="27" max="16384" width="7.875" style="244" customWidth="1"/>
  </cols>
  <sheetData>
    <row r="1" spans="1:24" ht="15.75">
      <c r="A1" s="751" t="s">
        <v>192</v>
      </c>
      <c r="B1" s="751"/>
      <c r="C1" s="751"/>
      <c r="D1" s="751"/>
      <c r="E1" s="751"/>
      <c r="G1" s="245"/>
      <c r="H1" s="245"/>
      <c r="I1" s="245"/>
      <c r="J1" s="245"/>
      <c r="K1" s="245"/>
      <c r="L1" s="245"/>
      <c r="M1" s="245"/>
      <c r="N1" s="245"/>
      <c r="O1" s="751" t="s">
        <v>1</v>
      </c>
      <c r="P1" s="751"/>
      <c r="Q1" s="751"/>
      <c r="R1" s="751"/>
      <c r="S1" s="751"/>
      <c r="T1" s="751"/>
      <c r="U1" s="751"/>
      <c r="V1" s="751"/>
      <c r="W1" s="751"/>
      <c r="X1" s="751"/>
    </row>
    <row r="2" spans="1:24" ht="15.75">
      <c r="A2" s="751" t="s">
        <v>193</v>
      </c>
      <c r="B2" s="751"/>
      <c r="C2" s="751"/>
      <c r="D2" s="751"/>
      <c r="E2" s="751"/>
      <c r="G2" s="245"/>
      <c r="H2" s="245"/>
      <c r="I2" s="245"/>
      <c r="J2" s="245"/>
      <c r="K2" s="245"/>
      <c r="L2" s="245"/>
      <c r="M2" s="245"/>
      <c r="N2" s="245"/>
      <c r="O2" s="751" t="s">
        <v>101</v>
      </c>
      <c r="P2" s="751"/>
      <c r="Q2" s="751"/>
      <c r="R2" s="751"/>
      <c r="S2" s="751"/>
      <c r="T2" s="751"/>
      <c r="U2" s="751"/>
      <c r="V2" s="751"/>
      <c r="W2" s="751"/>
      <c r="X2" s="751"/>
    </row>
    <row r="3" spans="17:21" ht="15">
      <c r="Q3" s="246"/>
      <c r="R3" s="246"/>
      <c r="S3" s="246"/>
      <c r="T3" s="246"/>
      <c r="U3" s="246"/>
    </row>
    <row r="4" spans="1:26" ht="27.75" customHeight="1">
      <c r="A4" s="752" t="s">
        <v>5</v>
      </c>
      <c r="B4" s="742" t="s">
        <v>194</v>
      </c>
      <c r="C4" s="742" t="s">
        <v>195</v>
      </c>
      <c r="D4" s="742"/>
      <c r="E4" s="742"/>
      <c r="F4" s="742"/>
      <c r="G4" s="742"/>
      <c r="H4" s="742"/>
      <c r="I4" s="752" t="s">
        <v>196</v>
      </c>
      <c r="J4" s="752"/>
      <c r="K4" s="752"/>
      <c r="L4" s="752"/>
      <c r="M4" s="752"/>
      <c r="N4" s="752"/>
      <c r="O4" s="752"/>
      <c r="P4" s="753" t="s">
        <v>197</v>
      </c>
      <c r="Q4" s="738" t="s">
        <v>462</v>
      </c>
      <c r="R4" s="738"/>
      <c r="S4" s="738"/>
      <c r="T4" s="738"/>
      <c r="U4" s="738"/>
      <c r="V4" s="738"/>
      <c r="W4" s="738"/>
      <c r="X4" s="739" t="s">
        <v>198</v>
      </c>
      <c r="Z4" s="739" t="s">
        <v>199</v>
      </c>
    </row>
    <row r="5" spans="1:26" ht="15">
      <c r="A5" s="752"/>
      <c r="B5" s="742"/>
      <c r="C5" s="742" t="s">
        <v>200</v>
      </c>
      <c r="D5" s="743" t="s">
        <v>201</v>
      </c>
      <c r="E5" s="744"/>
      <c r="F5" s="744"/>
      <c r="G5" s="744"/>
      <c r="H5" s="745"/>
      <c r="I5" s="742" t="s">
        <v>202</v>
      </c>
      <c r="J5" s="743" t="s">
        <v>201</v>
      </c>
      <c r="K5" s="744"/>
      <c r="L5" s="744"/>
      <c r="M5" s="744"/>
      <c r="N5" s="745"/>
      <c r="O5" s="746" t="s">
        <v>203</v>
      </c>
      <c r="P5" s="754"/>
      <c r="Q5" s="747" t="s">
        <v>200</v>
      </c>
      <c r="R5" s="748" t="s">
        <v>201</v>
      </c>
      <c r="S5" s="749"/>
      <c r="T5" s="749"/>
      <c r="U5" s="749"/>
      <c r="V5" s="750"/>
      <c r="W5" s="737" t="s">
        <v>204</v>
      </c>
      <c r="X5" s="740"/>
      <c r="Z5" s="740"/>
    </row>
    <row r="6" spans="1:26" ht="114.75">
      <c r="A6" s="752"/>
      <c r="B6" s="742"/>
      <c r="C6" s="742"/>
      <c r="D6" s="247" t="s">
        <v>12</v>
      </c>
      <c r="E6" s="247" t="s">
        <v>205</v>
      </c>
      <c r="F6" s="247" t="s">
        <v>206</v>
      </c>
      <c r="G6" s="247" t="s">
        <v>207</v>
      </c>
      <c r="H6" s="247" t="s">
        <v>208</v>
      </c>
      <c r="I6" s="742"/>
      <c r="J6" s="247" t="s">
        <v>12</v>
      </c>
      <c r="K6" s="247" t="s">
        <v>209</v>
      </c>
      <c r="L6" s="247" t="s">
        <v>210</v>
      </c>
      <c r="M6" s="247" t="s">
        <v>211</v>
      </c>
      <c r="N6" s="247" t="s">
        <v>212</v>
      </c>
      <c r="O6" s="746"/>
      <c r="P6" s="755"/>
      <c r="Q6" s="747"/>
      <c r="R6" s="440" t="s">
        <v>158</v>
      </c>
      <c r="S6" s="440" t="s">
        <v>213</v>
      </c>
      <c r="T6" s="440" t="s">
        <v>210</v>
      </c>
      <c r="U6" s="440" t="s">
        <v>211</v>
      </c>
      <c r="V6" s="439" t="s">
        <v>214</v>
      </c>
      <c r="W6" s="737"/>
      <c r="X6" s="741"/>
      <c r="Z6" s="741"/>
    </row>
    <row r="7" spans="1:26" ht="15">
      <c r="A7" s="248">
        <v>1</v>
      </c>
      <c r="B7" s="249" t="s">
        <v>215</v>
      </c>
      <c r="C7" s="250">
        <f>D7+E7+F7+G7</f>
        <v>7.1</v>
      </c>
      <c r="D7" s="250">
        <v>1</v>
      </c>
      <c r="E7" s="250">
        <v>3.135</v>
      </c>
      <c r="F7" s="250">
        <v>2.965</v>
      </c>
      <c r="G7" s="250"/>
      <c r="H7" s="251"/>
      <c r="I7" s="252">
        <f aca="true" t="shared" si="0" ref="I7:I30">K7+L7+M7</f>
        <v>0</v>
      </c>
      <c r="J7" s="252"/>
      <c r="K7" s="251"/>
      <c r="L7" s="251"/>
      <c r="M7" s="251"/>
      <c r="N7" s="251"/>
      <c r="O7" s="253">
        <f aca="true" t="shared" si="1" ref="O7:O23">K7*182+L7*117</f>
        <v>0</v>
      </c>
      <c r="P7" s="253">
        <f>+D7*194.67+E7*173.04+(F7+G7)*111.72</f>
        <v>1068.4001999999998</v>
      </c>
      <c r="Q7" s="596">
        <f>R7+S7+T7+U7</f>
        <v>0</v>
      </c>
      <c r="R7" s="596"/>
      <c r="S7" s="596"/>
      <c r="T7" s="596"/>
      <c r="U7" s="597"/>
      <c r="V7" s="254"/>
      <c r="W7" s="538"/>
      <c r="X7" s="537">
        <f>+Q7/C7</f>
        <v>0</v>
      </c>
      <c r="Z7" s="255"/>
    </row>
    <row r="8" spans="1:26" ht="15">
      <c r="A8" s="256">
        <v>2</v>
      </c>
      <c r="B8" s="257" t="s">
        <v>216</v>
      </c>
      <c r="C8" s="258">
        <f>+D8+E8+F8+G8</f>
        <v>6.307</v>
      </c>
      <c r="D8" s="258">
        <v>0.215</v>
      </c>
      <c r="E8" s="258">
        <v>0.45</v>
      </c>
      <c r="F8" s="258">
        <v>2.872</v>
      </c>
      <c r="G8" s="258">
        <v>2.77</v>
      </c>
      <c r="H8" s="259"/>
      <c r="I8" s="260">
        <f t="shared" si="0"/>
        <v>0</v>
      </c>
      <c r="J8" s="260"/>
      <c r="K8" s="259"/>
      <c r="L8" s="259"/>
      <c r="M8" s="259"/>
      <c r="N8" s="259"/>
      <c r="O8" s="261">
        <f t="shared" si="1"/>
        <v>0</v>
      </c>
      <c r="P8" s="261">
        <f aca="true" t="shared" si="2" ref="P8:P33">+D8*194.67+E8*173.04+(F8+G8)*111.72</f>
        <v>750.0462899999999</v>
      </c>
      <c r="Q8" s="598">
        <f aca="true" t="shared" si="3" ref="Q8:Q33">R8+S8+T8+U8</f>
        <v>0.722</v>
      </c>
      <c r="R8" s="599"/>
      <c r="S8" s="598"/>
      <c r="T8" s="598">
        <v>0.722</v>
      </c>
      <c r="U8" s="600"/>
      <c r="V8" s="262"/>
      <c r="W8" s="601">
        <v>165</v>
      </c>
      <c r="X8" s="537">
        <f aca="true" t="shared" si="4" ref="X8:X33">+Q8/C8</f>
        <v>0.11447597907087362</v>
      </c>
      <c r="Z8" s="255"/>
    </row>
    <row r="9" spans="1:26" ht="15">
      <c r="A9" s="256">
        <v>3</v>
      </c>
      <c r="B9" s="257" t="s">
        <v>217</v>
      </c>
      <c r="C9" s="258">
        <f aca="true" t="shared" si="5" ref="C9:C33">+D9+E9+F9+G9</f>
        <v>4.602</v>
      </c>
      <c r="D9" s="258"/>
      <c r="E9" s="258">
        <v>1.457</v>
      </c>
      <c r="F9" s="258">
        <v>3.145</v>
      </c>
      <c r="G9" s="258"/>
      <c r="H9" s="259"/>
      <c r="I9" s="260">
        <f t="shared" si="0"/>
        <v>0</v>
      </c>
      <c r="J9" s="260"/>
      <c r="K9" s="259"/>
      <c r="L9" s="259"/>
      <c r="M9" s="259"/>
      <c r="N9" s="259"/>
      <c r="O9" s="261">
        <f t="shared" si="1"/>
        <v>0</v>
      </c>
      <c r="P9" s="261">
        <f t="shared" si="2"/>
        <v>603.4786799999999</v>
      </c>
      <c r="Q9" s="598">
        <f t="shared" si="3"/>
        <v>2.217</v>
      </c>
      <c r="R9" s="598"/>
      <c r="S9" s="598">
        <v>0.767</v>
      </c>
      <c r="T9" s="598">
        <v>1.45</v>
      </c>
      <c r="U9" s="600"/>
      <c r="V9" s="262"/>
      <c r="W9" s="601">
        <v>297</v>
      </c>
      <c r="X9" s="537">
        <f t="shared" si="4"/>
        <v>0.48174706649282917</v>
      </c>
      <c r="Z9" s="255">
        <v>2.36</v>
      </c>
    </row>
    <row r="10" spans="1:26" ht="15">
      <c r="A10" s="256">
        <v>4</v>
      </c>
      <c r="B10" s="257" t="s">
        <v>218</v>
      </c>
      <c r="C10" s="258">
        <f t="shared" si="5"/>
        <v>3.26</v>
      </c>
      <c r="D10" s="258"/>
      <c r="E10" s="258">
        <v>0.19</v>
      </c>
      <c r="F10" s="258">
        <v>3.07</v>
      </c>
      <c r="G10" s="258"/>
      <c r="H10" s="259"/>
      <c r="I10" s="260">
        <f t="shared" si="0"/>
        <v>0</v>
      </c>
      <c r="J10" s="260"/>
      <c r="K10" s="259"/>
      <c r="L10" s="259"/>
      <c r="M10" s="259"/>
      <c r="N10" s="259"/>
      <c r="O10" s="261">
        <f t="shared" si="1"/>
        <v>0</v>
      </c>
      <c r="P10" s="261">
        <f t="shared" si="2"/>
        <v>375.85799999999995</v>
      </c>
      <c r="Q10" s="598">
        <f t="shared" si="3"/>
        <v>0.41</v>
      </c>
      <c r="R10" s="598"/>
      <c r="S10" s="598"/>
      <c r="T10" s="598">
        <v>0.41</v>
      </c>
      <c r="U10" s="600"/>
      <c r="V10" s="262"/>
      <c r="W10" s="601">
        <v>51</v>
      </c>
      <c r="X10" s="537">
        <f t="shared" si="4"/>
        <v>0.12576687116564417</v>
      </c>
      <c r="Z10" s="255"/>
    </row>
    <row r="11" spans="1:26" ht="15">
      <c r="A11" s="256">
        <v>5</v>
      </c>
      <c r="B11" s="257" t="s">
        <v>219</v>
      </c>
      <c r="C11" s="258">
        <f t="shared" si="5"/>
        <v>7.478</v>
      </c>
      <c r="D11" s="258"/>
      <c r="E11" s="258"/>
      <c r="F11" s="258">
        <v>7.478</v>
      </c>
      <c r="G11" s="258"/>
      <c r="H11" s="259"/>
      <c r="I11" s="260">
        <f t="shared" si="0"/>
        <v>0</v>
      </c>
      <c r="J11" s="260"/>
      <c r="K11" s="259"/>
      <c r="L11" s="259"/>
      <c r="M11" s="259"/>
      <c r="N11" s="259"/>
      <c r="O11" s="261">
        <f t="shared" si="1"/>
        <v>0</v>
      </c>
      <c r="P11" s="261">
        <f t="shared" si="2"/>
        <v>835.44216</v>
      </c>
      <c r="Q11" s="598">
        <f t="shared" si="3"/>
        <v>0</v>
      </c>
      <c r="R11" s="598"/>
      <c r="S11" s="598"/>
      <c r="T11" s="598"/>
      <c r="U11" s="600"/>
      <c r="V11" s="262"/>
      <c r="W11" s="601"/>
      <c r="X11" s="537">
        <f t="shared" si="4"/>
        <v>0</v>
      </c>
      <c r="Z11" s="255"/>
    </row>
    <row r="12" spans="1:26" ht="15">
      <c r="A12" s="256">
        <v>6</v>
      </c>
      <c r="B12" s="257" t="s">
        <v>220</v>
      </c>
      <c r="C12" s="258">
        <f t="shared" si="5"/>
        <v>3.9</v>
      </c>
      <c r="D12" s="258">
        <v>0.5</v>
      </c>
      <c r="E12" s="258"/>
      <c r="F12" s="258">
        <v>3.4</v>
      </c>
      <c r="G12" s="258"/>
      <c r="H12" s="259"/>
      <c r="I12" s="260">
        <f t="shared" si="0"/>
        <v>0</v>
      </c>
      <c r="J12" s="260"/>
      <c r="K12" s="259"/>
      <c r="L12" s="259"/>
      <c r="M12" s="259"/>
      <c r="N12" s="259"/>
      <c r="O12" s="261">
        <f t="shared" si="1"/>
        <v>0</v>
      </c>
      <c r="P12" s="261">
        <f t="shared" si="2"/>
        <v>477.183</v>
      </c>
      <c r="Q12" s="598">
        <f t="shared" si="3"/>
        <v>2.346</v>
      </c>
      <c r="R12" s="598">
        <v>0.453</v>
      </c>
      <c r="S12" s="598">
        <v>0.1</v>
      </c>
      <c r="T12" s="598">
        <v>1.793</v>
      </c>
      <c r="U12" s="600"/>
      <c r="V12" s="262"/>
      <c r="W12" s="601">
        <v>321</v>
      </c>
      <c r="X12" s="537">
        <f t="shared" si="4"/>
        <v>0.6015384615384616</v>
      </c>
      <c r="Z12" s="255">
        <v>2.5</v>
      </c>
    </row>
    <row r="13" spans="1:26" ht="15">
      <c r="A13" s="256">
        <v>7</v>
      </c>
      <c r="B13" s="257" t="s">
        <v>221</v>
      </c>
      <c r="C13" s="258">
        <f t="shared" si="5"/>
        <v>7.06</v>
      </c>
      <c r="D13" s="258">
        <v>0.35</v>
      </c>
      <c r="E13" s="258"/>
      <c r="F13" s="258">
        <v>6.51</v>
      </c>
      <c r="G13" s="258">
        <v>0.2</v>
      </c>
      <c r="H13" s="259"/>
      <c r="I13" s="260">
        <f t="shared" si="0"/>
        <v>0</v>
      </c>
      <c r="J13" s="260"/>
      <c r="K13" s="259"/>
      <c r="L13" s="259"/>
      <c r="M13" s="259"/>
      <c r="N13" s="259"/>
      <c r="O13" s="261">
        <f t="shared" si="1"/>
        <v>0</v>
      </c>
      <c r="P13" s="261">
        <f t="shared" si="2"/>
        <v>817.7757</v>
      </c>
      <c r="Q13" s="598">
        <f t="shared" si="3"/>
        <v>0</v>
      </c>
      <c r="R13" s="598"/>
      <c r="S13" s="598"/>
      <c r="T13" s="598"/>
      <c r="U13" s="600"/>
      <c r="V13" s="262"/>
      <c r="W13" s="601"/>
      <c r="X13" s="537">
        <f t="shared" si="4"/>
        <v>0</v>
      </c>
      <c r="Z13" s="255"/>
    </row>
    <row r="14" spans="1:26" ht="15">
      <c r="A14" s="263">
        <v>8</v>
      </c>
      <c r="B14" s="264" t="s">
        <v>222</v>
      </c>
      <c r="C14" s="258">
        <f t="shared" si="5"/>
        <v>4.308999999999999</v>
      </c>
      <c r="D14" s="265"/>
      <c r="E14" s="265">
        <v>0.841</v>
      </c>
      <c r="F14" s="265">
        <v>3.062</v>
      </c>
      <c r="G14" s="265">
        <v>0.406</v>
      </c>
      <c r="H14" s="262"/>
      <c r="I14" s="266">
        <f t="shared" si="0"/>
        <v>0</v>
      </c>
      <c r="J14" s="266"/>
      <c r="K14" s="262"/>
      <c r="L14" s="262"/>
      <c r="M14" s="262"/>
      <c r="N14" s="262"/>
      <c r="O14" s="267">
        <f t="shared" si="1"/>
        <v>0</v>
      </c>
      <c r="P14" s="261">
        <f t="shared" si="2"/>
        <v>532.9716</v>
      </c>
      <c r="Q14" s="598">
        <f t="shared" si="3"/>
        <v>0.502</v>
      </c>
      <c r="R14" s="598"/>
      <c r="S14" s="598"/>
      <c r="T14" s="598">
        <v>0.502</v>
      </c>
      <c r="U14" s="600"/>
      <c r="V14" s="262"/>
      <c r="W14" s="601">
        <v>56</v>
      </c>
      <c r="X14" s="537">
        <f t="shared" si="4"/>
        <v>0.1165003481086099</v>
      </c>
      <c r="Z14" s="255"/>
    </row>
    <row r="15" spans="1:26" ht="15">
      <c r="A15" s="256">
        <v>9</v>
      </c>
      <c r="B15" s="257" t="s">
        <v>223</v>
      </c>
      <c r="C15" s="258">
        <f t="shared" si="5"/>
        <v>1.955</v>
      </c>
      <c r="D15" s="258"/>
      <c r="E15" s="258">
        <v>0.6</v>
      </c>
      <c r="F15" s="258">
        <v>1.355</v>
      </c>
      <c r="G15" s="258"/>
      <c r="H15" s="259"/>
      <c r="I15" s="260">
        <f t="shared" si="0"/>
        <v>0</v>
      </c>
      <c r="J15" s="260"/>
      <c r="K15" s="259"/>
      <c r="L15" s="259"/>
      <c r="M15" s="259"/>
      <c r="N15" s="259"/>
      <c r="O15" s="261">
        <f t="shared" si="1"/>
        <v>0</v>
      </c>
      <c r="P15" s="261">
        <f t="shared" si="2"/>
        <v>255.20459999999997</v>
      </c>
      <c r="Q15" s="598">
        <f t="shared" si="3"/>
        <v>0</v>
      </c>
      <c r="R15" s="598"/>
      <c r="S15" s="598"/>
      <c r="T15" s="598"/>
      <c r="U15" s="600"/>
      <c r="V15" s="262"/>
      <c r="W15" s="601"/>
      <c r="X15" s="537">
        <f t="shared" si="4"/>
        <v>0</v>
      </c>
      <c r="Z15" s="255"/>
    </row>
    <row r="16" spans="1:26" ht="15">
      <c r="A16" s="102">
        <v>10</v>
      </c>
      <c r="B16" s="257" t="s">
        <v>224</v>
      </c>
      <c r="C16" s="258">
        <f t="shared" si="5"/>
        <v>5.24</v>
      </c>
      <c r="D16" s="258"/>
      <c r="E16" s="258">
        <v>2.42</v>
      </c>
      <c r="F16" s="258">
        <v>2.82</v>
      </c>
      <c r="G16" s="258"/>
      <c r="H16" s="259"/>
      <c r="I16" s="260">
        <f t="shared" si="0"/>
        <v>0</v>
      </c>
      <c r="J16" s="260"/>
      <c r="K16" s="259"/>
      <c r="L16" s="259"/>
      <c r="M16" s="259"/>
      <c r="N16" s="259"/>
      <c r="O16" s="261">
        <f t="shared" si="1"/>
        <v>0</v>
      </c>
      <c r="P16" s="261">
        <f t="shared" si="2"/>
        <v>733.8072</v>
      </c>
      <c r="Q16" s="598">
        <f t="shared" si="3"/>
        <v>0</v>
      </c>
      <c r="R16" s="598"/>
      <c r="S16" s="598"/>
      <c r="T16" s="598"/>
      <c r="U16" s="600"/>
      <c r="V16" s="262"/>
      <c r="W16" s="601"/>
      <c r="X16" s="537">
        <f t="shared" si="4"/>
        <v>0</v>
      </c>
      <c r="Z16" s="255"/>
    </row>
    <row r="17" spans="1:26" ht="15">
      <c r="A17" s="102">
        <v>11</v>
      </c>
      <c r="B17" s="257" t="s">
        <v>225</v>
      </c>
      <c r="C17" s="258">
        <f t="shared" si="5"/>
        <v>1.26</v>
      </c>
      <c r="D17" s="258"/>
      <c r="E17" s="258">
        <v>0.23</v>
      </c>
      <c r="F17" s="258">
        <v>1.03</v>
      </c>
      <c r="G17" s="258"/>
      <c r="H17" s="259"/>
      <c r="I17" s="260">
        <f t="shared" si="0"/>
        <v>0</v>
      </c>
      <c r="J17" s="260"/>
      <c r="K17" s="259"/>
      <c r="L17" s="259"/>
      <c r="M17" s="259"/>
      <c r="N17" s="259"/>
      <c r="O17" s="261">
        <f t="shared" si="1"/>
        <v>0</v>
      </c>
      <c r="P17" s="261">
        <f t="shared" si="2"/>
        <v>154.8708</v>
      </c>
      <c r="Q17" s="598">
        <f t="shared" si="3"/>
        <v>0.32</v>
      </c>
      <c r="R17" s="598"/>
      <c r="S17" s="598"/>
      <c r="T17" s="598">
        <v>0.32</v>
      </c>
      <c r="U17" s="600"/>
      <c r="V17" s="262"/>
      <c r="W17" s="601">
        <v>35</v>
      </c>
      <c r="X17" s="537">
        <f t="shared" si="4"/>
        <v>0.25396825396825395</v>
      </c>
      <c r="Z17" s="255">
        <v>0.32</v>
      </c>
    </row>
    <row r="18" spans="1:26" ht="15">
      <c r="A18" s="102">
        <v>12</v>
      </c>
      <c r="B18" s="257" t="s">
        <v>226</v>
      </c>
      <c r="C18" s="258">
        <f t="shared" si="5"/>
        <v>1.911</v>
      </c>
      <c r="D18" s="258">
        <v>0.186</v>
      </c>
      <c r="E18" s="258"/>
      <c r="F18" s="258">
        <v>1.725</v>
      </c>
      <c r="G18" s="258"/>
      <c r="H18" s="259"/>
      <c r="I18" s="260">
        <f t="shared" si="0"/>
        <v>0</v>
      </c>
      <c r="J18" s="260"/>
      <c r="K18" s="259"/>
      <c r="L18" s="259"/>
      <c r="M18" s="259"/>
      <c r="N18" s="259"/>
      <c r="O18" s="261">
        <f t="shared" si="1"/>
        <v>0</v>
      </c>
      <c r="P18" s="261">
        <f t="shared" si="2"/>
        <v>228.92562</v>
      </c>
      <c r="Q18" s="598">
        <f t="shared" si="3"/>
        <v>0</v>
      </c>
      <c r="R18" s="598"/>
      <c r="S18" s="598"/>
      <c r="T18" s="598"/>
      <c r="U18" s="600"/>
      <c r="V18" s="262"/>
      <c r="W18" s="601">
        <v>38</v>
      </c>
      <c r="X18" s="537">
        <f t="shared" si="4"/>
        <v>0</v>
      </c>
      <c r="Z18" s="255"/>
    </row>
    <row r="19" spans="1:26" ht="15">
      <c r="A19" s="102">
        <v>13</v>
      </c>
      <c r="B19" s="257" t="s">
        <v>227</v>
      </c>
      <c r="C19" s="258">
        <f t="shared" si="5"/>
        <v>3.23</v>
      </c>
      <c r="D19" s="258"/>
      <c r="E19" s="258">
        <v>0.5</v>
      </c>
      <c r="F19" s="258">
        <v>2.73</v>
      </c>
      <c r="G19" s="258"/>
      <c r="H19" s="259"/>
      <c r="I19" s="260">
        <f t="shared" si="0"/>
        <v>0</v>
      </c>
      <c r="J19" s="260"/>
      <c r="K19" s="259"/>
      <c r="L19" s="259"/>
      <c r="M19" s="259"/>
      <c r="N19" s="259"/>
      <c r="O19" s="261">
        <f t="shared" si="1"/>
        <v>0</v>
      </c>
      <c r="P19" s="261">
        <f t="shared" si="2"/>
        <v>391.51559999999995</v>
      </c>
      <c r="Q19" s="598">
        <f t="shared" si="3"/>
        <v>0</v>
      </c>
      <c r="R19" s="598"/>
      <c r="S19" s="598"/>
      <c r="T19" s="598"/>
      <c r="U19" s="600"/>
      <c r="V19" s="262"/>
      <c r="W19" s="601"/>
      <c r="X19" s="537">
        <f t="shared" si="4"/>
        <v>0</v>
      </c>
      <c r="Z19" s="255"/>
    </row>
    <row r="20" spans="1:26" ht="15">
      <c r="A20" s="102">
        <v>14</v>
      </c>
      <c r="B20" s="257" t="s">
        <v>228</v>
      </c>
      <c r="C20" s="258">
        <f t="shared" si="5"/>
        <v>2.6</v>
      </c>
      <c r="D20" s="258"/>
      <c r="E20" s="258"/>
      <c r="F20" s="258">
        <v>2.2</v>
      </c>
      <c r="G20" s="258">
        <v>0.4</v>
      </c>
      <c r="H20" s="259"/>
      <c r="I20" s="260">
        <f t="shared" si="0"/>
        <v>0</v>
      </c>
      <c r="J20" s="260"/>
      <c r="K20" s="259"/>
      <c r="L20" s="259"/>
      <c r="M20" s="259"/>
      <c r="N20" s="259"/>
      <c r="O20" s="261">
        <f t="shared" si="1"/>
        <v>0</v>
      </c>
      <c r="P20" s="261">
        <f t="shared" si="2"/>
        <v>290.472</v>
      </c>
      <c r="Q20" s="598">
        <f t="shared" si="3"/>
        <v>0.315</v>
      </c>
      <c r="R20" s="598"/>
      <c r="S20" s="598"/>
      <c r="T20" s="598">
        <v>0.315</v>
      </c>
      <c r="U20" s="600"/>
      <c r="V20" s="262"/>
      <c r="W20" s="601">
        <v>38</v>
      </c>
      <c r="X20" s="537">
        <f t="shared" si="4"/>
        <v>0.12115384615384615</v>
      </c>
      <c r="Z20" s="255">
        <v>0.35</v>
      </c>
    </row>
    <row r="21" spans="1:26" ht="15">
      <c r="A21" s="102">
        <v>15</v>
      </c>
      <c r="B21" s="257" t="s">
        <v>229</v>
      </c>
      <c r="C21" s="258">
        <f t="shared" si="5"/>
        <v>4.483999999999999</v>
      </c>
      <c r="D21" s="258"/>
      <c r="E21" s="258">
        <v>1.843</v>
      </c>
      <c r="F21" s="258">
        <v>2.456</v>
      </c>
      <c r="G21" s="258">
        <v>0.185</v>
      </c>
      <c r="H21" s="259"/>
      <c r="I21" s="260">
        <f t="shared" si="0"/>
        <v>0</v>
      </c>
      <c r="J21" s="260"/>
      <c r="K21" s="259"/>
      <c r="L21" s="259"/>
      <c r="M21" s="259"/>
      <c r="N21" s="259"/>
      <c r="O21" s="261">
        <f t="shared" si="1"/>
        <v>0</v>
      </c>
      <c r="P21" s="261">
        <f t="shared" si="2"/>
        <v>613.96524</v>
      </c>
      <c r="Q21" s="598">
        <f t="shared" si="3"/>
        <v>0</v>
      </c>
      <c r="R21" s="598"/>
      <c r="S21" s="598"/>
      <c r="T21" s="598"/>
      <c r="U21" s="600"/>
      <c r="V21" s="262"/>
      <c r="W21" s="601"/>
      <c r="X21" s="537">
        <f t="shared" si="4"/>
        <v>0</v>
      </c>
      <c r="Z21" s="255"/>
    </row>
    <row r="22" spans="1:26" ht="15">
      <c r="A22" s="102">
        <v>16</v>
      </c>
      <c r="B22" s="257" t="s">
        <v>230</v>
      </c>
      <c r="C22" s="258">
        <f t="shared" si="5"/>
        <v>1.487</v>
      </c>
      <c r="D22" s="258"/>
      <c r="E22" s="258">
        <v>1.487</v>
      </c>
      <c r="F22" s="258"/>
      <c r="G22" s="258"/>
      <c r="H22" s="259"/>
      <c r="I22" s="260">
        <f t="shared" si="0"/>
        <v>0</v>
      </c>
      <c r="J22" s="260"/>
      <c r="K22" s="259"/>
      <c r="L22" s="259"/>
      <c r="M22" s="259"/>
      <c r="N22" s="259"/>
      <c r="O22" s="261">
        <f t="shared" si="1"/>
        <v>0</v>
      </c>
      <c r="P22" s="261">
        <f t="shared" si="2"/>
        <v>257.31048</v>
      </c>
      <c r="Q22" s="598">
        <f t="shared" si="3"/>
        <v>0</v>
      </c>
      <c r="R22" s="598"/>
      <c r="S22" s="598"/>
      <c r="T22" s="598"/>
      <c r="U22" s="600"/>
      <c r="V22" s="262"/>
      <c r="W22" s="601"/>
      <c r="X22" s="537">
        <f t="shared" si="4"/>
        <v>0</v>
      </c>
      <c r="Z22" s="255"/>
    </row>
    <row r="23" spans="1:26" ht="15">
      <c r="A23" s="102">
        <v>17</v>
      </c>
      <c r="B23" s="257" t="s">
        <v>231</v>
      </c>
      <c r="C23" s="258">
        <f t="shared" si="5"/>
        <v>2.5</v>
      </c>
      <c r="D23" s="258"/>
      <c r="E23" s="258">
        <v>0.45</v>
      </c>
      <c r="F23" s="258">
        <v>1.55</v>
      </c>
      <c r="G23" s="258">
        <v>0.5</v>
      </c>
      <c r="H23" s="259"/>
      <c r="I23" s="260">
        <f t="shared" si="0"/>
        <v>0</v>
      </c>
      <c r="J23" s="260"/>
      <c r="K23" s="259"/>
      <c r="L23" s="259"/>
      <c r="M23" s="259"/>
      <c r="N23" s="259"/>
      <c r="O23" s="261">
        <f t="shared" si="1"/>
        <v>0</v>
      </c>
      <c r="P23" s="261">
        <f t="shared" si="2"/>
        <v>306.894</v>
      </c>
      <c r="Q23" s="598">
        <f t="shared" si="3"/>
        <v>0.6</v>
      </c>
      <c r="R23" s="598"/>
      <c r="S23" s="598"/>
      <c r="T23" s="598">
        <v>0.6</v>
      </c>
      <c r="U23" s="600"/>
      <c r="V23" s="262"/>
      <c r="W23" s="601">
        <v>60</v>
      </c>
      <c r="X23" s="537">
        <f t="shared" si="4"/>
        <v>0.24</v>
      </c>
      <c r="Z23" s="255"/>
    </row>
    <row r="24" spans="1:26" ht="15">
      <c r="A24" s="102">
        <v>18</v>
      </c>
      <c r="B24" s="257" t="s">
        <v>232</v>
      </c>
      <c r="C24" s="258">
        <f t="shared" si="5"/>
        <v>2.4400000000000004</v>
      </c>
      <c r="D24" s="258"/>
      <c r="E24" s="258">
        <v>2.24</v>
      </c>
      <c r="F24" s="258">
        <v>0.1</v>
      </c>
      <c r="G24" s="258">
        <v>0.1</v>
      </c>
      <c r="H24" s="259"/>
      <c r="I24" s="260">
        <f t="shared" si="0"/>
        <v>0</v>
      </c>
      <c r="J24" s="260"/>
      <c r="K24" s="259"/>
      <c r="L24" s="259"/>
      <c r="M24" s="259"/>
      <c r="N24" s="259"/>
      <c r="O24" s="261"/>
      <c r="P24" s="261">
        <f t="shared" si="2"/>
        <v>409.9536</v>
      </c>
      <c r="Q24" s="598">
        <f t="shared" si="3"/>
        <v>0</v>
      </c>
      <c r="R24" s="598"/>
      <c r="S24" s="598"/>
      <c r="T24" s="598"/>
      <c r="U24" s="600"/>
      <c r="V24" s="262"/>
      <c r="W24" s="601"/>
      <c r="X24" s="537">
        <f t="shared" si="4"/>
        <v>0</v>
      </c>
      <c r="Z24" s="255"/>
    </row>
    <row r="25" spans="1:26" ht="15">
      <c r="A25" s="102">
        <v>19</v>
      </c>
      <c r="B25" s="257" t="s">
        <v>233</v>
      </c>
      <c r="C25" s="258">
        <f t="shared" si="5"/>
        <v>3.15</v>
      </c>
      <c r="D25" s="258"/>
      <c r="E25" s="258">
        <v>1.15</v>
      </c>
      <c r="F25" s="258">
        <v>2</v>
      </c>
      <c r="G25" s="258"/>
      <c r="H25" s="259"/>
      <c r="I25" s="260">
        <f t="shared" si="0"/>
        <v>0</v>
      </c>
      <c r="J25" s="260"/>
      <c r="K25" s="259"/>
      <c r="L25" s="259"/>
      <c r="M25" s="259"/>
      <c r="N25" s="259"/>
      <c r="O25" s="261"/>
      <c r="P25" s="261">
        <f t="shared" si="2"/>
        <v>422.436</v>
      </c>
      <c r="Q25" s="598">
        <f t="shared" si="3"/>
        <v>0</v>
      </c>
      <c r="R25" s="598"/>
      <c r="S25" s="598"/>
      <c r="T25" s="598"/>
      <c r="U25" s="600"/>
      <c r="V25" s="262"/>
      <c r="W25" s="601"/>
      <c r="X25" s="537">
        <f t="shared" si="4"/>
        <v>0</v>
      </c>
      <c r="Z25" s="255"/>
    </row>
    <row r="26" spans="1:26" ht="15">
      <c r="A26" s="102">
        <v>20</v>
      </c>
      <c r="B26" s="257" t="s">
        <v>234</v>
      </c>
      <c r="C26" s="258">
        <f t="shared" si="5"/>
        <v>3</v>
      </c>
      <c r="D26" s="258"/>
      <c r="E26" s="258">
        <v>1.85</v>
      </c>
      <c r="F26" s="258">
        <v>1.15</v>
      </c>
      <c r="G26" s="258"/>
      <c r="H26" s="259"/>
      <c r="I26" s="260">
        <f t="shared" si="0"/>
        <v>0</v>
      </c>
      <c r="J26" s="260"/>
      <c r="K26" s="259"/>
      <c r="L26" s="259"/>
      <c r="M26" s="259"/>
      <c r="N26" s="259"/>
      <c r="O26" s="261"/>
      <c r="P26" s="261">
        <f t="shared" si="2"/>
        <v>448.602</v>
      </c>
      <c r="Q26" s="598">
        <f t="shared" si="3"/>
        <v>3</v>
      </c>
      <c r="R26" s="598"/>
      <c r="S26" s="598">
        <v>1.85</v>
      </c>
      <c r="T26" s="598">
        <v>1.15</v>
      </c>
      <c r="U26" s="600"/>
      <c r="V26" s="262"/>
      <c r="W26" s="601">
        <v>445</v>
      </c>
      <c r="X26" s="537">
        <f t="shared" si="4"/>
        <v>1</v>
      </c>
      <c r="Z26" s="255"/>
    </row>
    <row r="27" spans="1:26" ht="15">
      <c r="A27" s="102">
        <v>21</v>
      </c>
      <c r="B27" s="257" t="s">
        <v>235</v>
      </c>
      <c r="C27" s="258">
        <f t="shared" si="5"/>
        <v>4.1</v>
      </c>
      <c r="D27" s="258"/>
      <c r="E27" s="258">
        <v>0.6</v>
      </c>
      <c r="F27" s="258">
        <v>3.13</v>
      </c>
      <c r="G27" s="258">
        <v>0.37</v>
      </c>
      <c r="H27" s="259"/>
      <c r="I27" s="260">
        <f t="shared" si="0"/>
        <v>0</v>
      </c>
      <c r="J27" s="260"/>
      <c r="K27" s="259"/>
      <c r="L27" s="259"/>
      <c r="M27" s="259"/>
      <c r="N27" s="259"/>
      <c r="O27" s="261"/>
      <c r="P27" s="261">
        <f t="shared" si="2"/>
        <v>494.844</v>
      </c>
      <c r="Q27" s="598">
        <f t="shared" si="3"/>
        <v>0.15</v>
      </c>
      <c r="R27" s="598"/>
      <c r="S27" s="598"/>
      <c r="T27" s="598">
        <v>0.15</v>
      </c>
      <c r="U27" s="600"/>
      <c r="V27" s="262"/>
      <c r="W27" s="601">
        <v>45</v>
      </c>
      <c r="X27" s="537">
        <f t="shared" si="4"/>
        <v>0.03658536585365854</v>
      </c>
      <c r="Z27" s="255"/>
    </row>
    <row r="28" spans="1:26" ht="15">
      <c r="A28" s="102">
        <v>22</v>
      </c>
      <c r="B28" s="257" t="s">
        <v>236</v>
      </c>
      <c r="C28" s="258">
        <f t="shared" si="5"/>
        <v>4.05</v>
      </c>
      <c r="D28" s="258"/>
      <c r="E28" s="258">
        <v>1</v>
      </c>
      <c r="F28" s="258">
        <v>3.05</v>
      </c>
      <c r="G28" s="258"/>
      <c r="H28" s="259"/>
      <c r="I28" s="260">
        <f t="shared" si="0"/>
        <v>0</v>
      </c>
      <c r="J28" s="260"/>
      <c r="K28" s="259"/>
      <c r="L28" s="259"/>
      <c r="M28" s="259"/>
      <c r="N28" s="259"/>
      <c r="O28" s="261"/>
      <c r="P28" s="261">
        <f t="shared" si="2"/>
        <v>513.786</v>
      </c>
      <c r="Q28" s="598">
        <f t="shared" si="3"/>
        <v>0</v>
      </c>
      <c r="R28" s="598"/>
      <c r="S28" s="598"/>
      <c r="T28" s="598"/>
      <c r="U28" s="600"/>
      <c r="V28" s="262"/>
      <c r="W28" s="601"/>
      <c r="X28" s="537">
        <f t="shared" si="4"/>
        <v>0</v>
      </c>
      <c r="Z28" s="255"/>
    </row>
    <row r="29" spans="1:26" ht="15">
      <c r="A29" s="102">
        <v>23</v>
      </c>
      <c r="B29" s="257" t="s">
        <v>237</v>
      </c>
      <c r="C29" s="258">
        <f t="shared" si="5"/>
        <v>2.52</v>
      </c>
      <c r="D29" s="258"/>
      <c r="E29" s="258">
        <v>1.5</v>
      </c>
      <c r="F29" s="258">
        <v>1.02</v>
      </c>
      <c r="G29" s="258"/>
      <c r="H29" s="259"/>
      <c r="I29" s="260">
        <f t="shared" si="0"/>
        <v>0</v>
      </c>
      <c r="J29" s="260"/>
      <c r="K29" s="259"/>
      <c r="L29" s="259"/>
      <c r="M29" s="259"/>
      <c r="N29" s="259"/>
      <c r="O29" s="261"/>
      <c r="P29" s="261">
        <f t="shared" si="2"/>
        <v>373.5144</v>
      </c>
      <c r="Q29" s="598">
        <f t="shared" si="3"/>
        <v>0</v>
      </c>
      <c r="R29" s="598"/>
      <c r="S29" s="598"/>
      <c r="T29" s="598"/>
      <c r="U29" s="600"/>
      <c r="V29" s="262"/>
      <c r="W29" s="601"/>
      <c r="X29" s="537">
        <f t="shared" si="4"/>
        <v>0</v>
      </c>
      <c r="Z29" s="255"/>
    </row>
    <row r="30" spans="1:26" ht="15">
      <c r="A30" s="102">
        <v>24</v>
      </c>
      <c r="B30" s="257" t="s">
        <v>238</v>
      </c>
      <c r="C30" s="258">
        <f t="shared" si="5"/>
        <v>2.4</v>
      </c>
      <c r="D30" s="258"/>
      <c r="E30" s="258"/>
      <c r="F30" s="258">
        <v>2.4</v>
      </c>
      <c r="G30" s="258"/>
      <c r="H30" s="259"/>
      <c r="I30" s="260">
        <f t="shared" si="0"/>
        <v>0</v>
      </c>
      <c r="J30" s="260"/>
      <c r="K30" s="259"/>
      <c r="L30" s="259"/>
      <c r="M30" s="259"/>
      <c r="N30" s="259"/>
      <c r="O30" s="261">
        <f>K30*182+L30*117</f>
        <v>0</v>
      </c>
      <c r="P30" s="261">
        <f t="shared" si="2"/>
        <v>268.128</v>
      </c>
      <c r="Q30" s="598">
        <f t="shared" si="3"/>
        <v>1.13</v>
      </c>
      <c r="R30" s="598"/>
      <c r="S30" s="598"/>
      <c r="T30" s="598">
        <v>1.13</v>
      </c>
      <c r="U30" s="600"/>
      <c r="V30" s="262"/>
      <c r="W30" s="601">
        <v>181</v>
      </c>
      <c r="X30" s="537">
        <f t="shared" si="4"/>
        <v>0.4708333333333333</v>
      </c>
      <c r="Z30" s="255">
        <v>2.4</v>
      </c>
    </row>
    <row r="31" spans="1:26" ht="15">
      <c r="A31" s="102">
        <v>25</v>
      </c>
      <c r="B31" s="268" t="s">
        <v>239</v>
      </c>
      <c r="C31" s="258">
        <f t="shared" si="5"/>
        <v>1.15</v>
      </c>
      <c r="D31" s="269"/>
      <c r="E31" s="269">
        <v>0.95</v>
      </c>
      <c r="F31" s="269">
        <v>0.2</v>
      </c>
      <c r="G31" s="269"/>
      <c r="H31" s="270"/>
      <c r="I31" s="271"/>
      <c r="J31" s="271"/>
      <c r="K31" s="270"/>
      <c r="L31" s="270"/>
      <c r="M31" s="270"/>
      <c r="N31" s="270"/>
      <c r="O31" s="272"/>
      <c r="P31" s="261">
        <f t="shared" si="2"/>
        <v>186.73199999999997</v>
      </c>
      <c r="Q31" s="602">
        <f t="shared" si="3"/>
        <v>0</v>
      </c>
      <c r="R31" s="602"/>
      <c r="S31" s="602"/>
      <c r="T31" s="602"/>
      <c r="U31" s="603"/>
      <c r="V31" s="273"/>
      <c r="W31" s="604"/>
      <c r="X31" s="537">
        <f t="shared" si="4"/>
        <v>0</v>
      </c>
      <c r="Z31" s="255"/>
    </row>
    <row r="32" spans="1:26" ht="15">
      <c r="A32" s="102">
        <v>26</v>
      </c>
      <c r="B32" s="268" t="s">
        <v>240</v>
      </c>
      <c r="C32" s="258">
        <f t="shared" si="5"/>
        <v>1.4</v>
      </c>
      <c r="D32" s="269"/>
      <c r="E32" s="269">
        <v>0.8</v>
      </c>
      <c r="F32" s="269">
        <v>0.6</v>
      </c>
      <c r="G32" s="269"/>
      <c r="H32" s="270"/>
      <c r="I32" s="271"/>
      <c r="J32" s="271"/>
      <c r="K32" s="270"/>
      <c r="L32" s="270"/>
      <c r="M32" s="270"/>
      <c r="N32" s="270"/>
      <c r="O32" s="272"/>
      <c r="P32" s="261">
        <f t="shared" si="2"/>
        <v>205.464</v>
      </c>
      <c r="Q32" s="605">
        <f t="shared" si="3"/>
        <v>0</v>
      </c>
      <c r="R32" s="606"/>
      <c r="S32" s="606"/>
      <c r="T32" s="606"/>
      <c r="U32" s="607"/>
      <c r="V32" s="273"/>
      <c r="W32" s="608"/>
      <c r="X32" s="537">
        <f t="shared" si="4"/>
        <v>0</v>
      </c>
      <c r="Z32" s="255"/>
    </row>
    <row r="33" spans="1:26" ht="15">
      <c r="A33" s="102">
        <v>27</v>
      </c>
      <c r="B33" s="268" t="s">
        <v>241</v>
      </c>
      <c r="C33" s="258">
        <f t="shared" si="5"/>
        <v>3.5</v>
      </c>
      <c r="D33" s="269"/>
      <c r="E33" s="269">
        <v>1.5</v>
      </c>
      <c r="F33" s="269">
        <v>2</v>
      </c>
      <c r="G33" s="269"/>
      <c r="H33" s="270"/>
      <c r="I33" s="271"/>
      <c r="J33" s="271"/>
      <c r="K33" s="270"/>
      <c r="L33" s="270"/>
      <c r="M33" s="270"/>
      <c r="N33" s="270"/>
      <c r="O33" s="272"/>
      <c r="P33" s="261">
        <f t="shared" si="2"/>
        <v>483</v>
      </c>
      <c r="Q33" s="598">
        <f t="shared" si="3"/>
        <v>0</v>
      </c>
      <c r="R33" s="609"/>
      <c r="S33" s="609"/>
      <c r="T33" s="609"/>
      <c r="U33" s="610"/>
      <c r="V33" s="273"/>
      <c r="W33" s="611"/>
      <c r="X33" s="537">
        <f t="shared" si="4"/>
        <v>0</v>
      </c>
      <c r="Z33" s="255"/>
    </row>
    <row r="34" spans="1:26" s="280" customFormat="1" ht="14.25">
      <c r="A34" s="274"/>
      <c r="B34" s="274" t="s">
        <v>38</v>
      </c>
      <c r="C34" s="275">
        <f>+D34+E34+F34+G34</f>
        <v>96.393</v>
      </c>
      <c r="D34" s="275">
        <f>SUM(D7:D33)</f>
        <v>2.251</v>
      </c>
      <c r="E34" s="275">
        <f>SUM(E7:E33)</f>
        <v>25.193</v>
      </c>
      <c r="F34" s="275">
        <f>SUM(F7:F33)</f>
        <v>64.018</v>
      </c>
      <c r="G34" s="276">
        <f>SUM(G7:G30)</f>
        <v>4.931</v>
      </c>
      <c r="H34" s="277"/>
      <c r="I34" s="278">
        <f>SUM(I7:I30)</f>
        <v>0</v>
      </c>
      <c r="J34" s="278"/>
      <c r="K34" s="278">
        <f>SUM(K7:K30)</f>
        <v>0</v>
      </c>
      <c r="L34" s="278">
        <f>SUM(L7:L30)</f>
        <v>0</v>
      </c>
      <c r="M34" s="277"/>
      <c r="N34" s="277"/>
      <c r="O34" s="279">
        <f>SUM(O7:O30)</f>
        <v>0</v>
      </c>
      <c r="P34" s="279">
        <f>SUM(P7:P33)</f>
        <v>12500.581170000001</v>
      </c>
      <c r="Q34" s="612">
        <f>SUM(Q7:Q30)</f>
        <v>11.712</v>
      </c>
      <c r="R34" s="613">
        <f>SUM(R7:R33)</f>
        <v>0.453</v>
      </c>
      <c r="S34" s="613">
        <f>SUM(S7:S33)</f>
        <v>2.717</v>
      </c>
      <c r="T34" s="614">
        <f>SUM(T7:T33)</f>
        <v>8.542000000000002</v>
      </c>
      <c r="U34" s="615">
        <f>SUM(U7:V33)</f>
        <v>0</v>
      </c>
      <c r="V34" s="441">
        <f>SUM(V7:V33)</f>
        <v>0</v>
      </c>
      <c r="W34" s="616">
        <f>SUM(W7:W33)</f>
        <v>1732</v>
      </c>
      <c r="X34" s="277">
        <f>Q34/C34*100</f>
        <v>12.150259873642275</v>
      </c>
      <c r="Z34" s="281">
        <f>SUM(Z7:Z33)</f>
        <v>7.93</v>
      </c>
    </row>
    <row r="35" spans="17:23" ht="15">
      <c r="Q35" s="246"/>
      <c r="R35" s="246"/>
      <c r="S35" s="246"/>
      <c r="T35" s="246"/>
      <c r="U35" s="246"/>
      <c r="V35" s="282"/>
      <c r="W35" s="282"/>
    </row>
  </sheetData>
  <sheetProtection/>
  <mergeCells count="20"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zoomScalePageLayoutView="0" workbookViewId="0" topLeftCell="A4">
      <selection activeCell="J23" sqref="J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719" t="s">
        <v>192</v>
      </c>
      <c r="B1" s="719"/>
      <c r="C1" s="719"/>
      <c r="D1" s="719"/>
      <c r="E1" s="719"/>
      <c r="F1" s="719"/>
      <c r="G1" s="74"/>
      <c r="H1" s="74"/>
      <c r="I1" s="74"/>
    </row>
    <row r="2" spans="1:9" ht="16.5" customHeight="1" hidden="1">
      <c r="A2" s="719" t="s">
        <v>242</v>
      </c>
      <c r="B2" s="719"/>
      <c r="C2" s="719"/>
      <c r="D2" s="719"/>
      <c r="E2" s="719"/>
      <c r="F2" s="719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4" customFormat="1" ht="15.75">
      <c r="A4" s="759" t="s">
        <v>243</v>
      </c>
      <c r="B4" s="759"/>
      <c r="C4" s="759"/>
      <c r="D4" s="759"/>
      <c r="E4" s="759"/>
      <c r="F4" s="73"/>
      <c r="G4" s="73"/>
      <c r="H4" s="73"/>
      <c r="I4" s="759" t="s">
        <v>1</v>
      </c>
      <c r="J4" s="759"/>
      <c r="K4" s="759"/>
      <c r="L4" s="759"/>
      <c r="M4" s="759"/>
      <c r="N4" s="759"/>
    </row>
    <row r="5" spans="1:14" s="284" customFormat="1" ht="15.75">
      <c r="A5" s="73"/>
      <c r="B5" s="73"/>
      <c r="C5" s="73"/>
      <c r="D5" s="73"/>
      <c r="E5" s="73"/>
      <c r="F5" s="73"/>
      <c r="G5" s="73"/>
      <c r="H5" s="73"/>
      <c r="I5" s="759" t="s">
        <v>101</v>
      </c>
      <c r="J5" s="759"/>
      <c r="K5" s="759"/>
      <c r="L5" s="759"/>
      <c r="M5" s="759"/>
      <c r="N5" s="759"/>
    </row>
    <row r="6" spans="1:14" ht="14.25" customHeight="1">
      <c r="A6" s="760"/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</row>
    <row r="7" spans="1:9" ht="9" customHeight="1">
      <c r="A7" s="285"/>
      <c r="B7" s="286"/>
      <c r="C7" s="286"/>
      <c r="D7" s="286"/>
      <c r="E7" s="286"/>
      <c r="F7" s="286"/>
      <c r="G7" s="286"/>
      <c r="H7" s="286"/>
      <c r="I7" s="286"/>
    </row>
    <row r="8" spans="1:15" ht="18" customHeight="1">
      <c r="A8" s="757" t="s">
        <v>5</v>
      </c>
      <c r="B8" s="757" t="s">
        <v>244</v>
      </c>
      <c r="C8" s="714" t="s">
        <v>103</v>
      </c>
      <c r="D8" s="714"/>
      <c r="E8" s="714"/>
      <c r="F8" s="714"/>
      <c r="G8" s="714"/>
      <c r="H8" s="80"/>
      <c r="I8" s="716" t="s">
        <v>245</v>
      </c>
      <c r="J8" s="714" t="s">
        <v>462</v>
      </c>
      <c r="K8" s="714"/>
      <c r="L8" s="714"/>
      <c r="M8" s="714"/>
      <c r="N8" s="714"/>
      <c r="O8" s="716" t="s">
        <v>246</v>
      </c>
    </row>
    <row r="9" spans="1:15" ht="57">
      <c r="A9" s="758"/>
      <c r="B9" s="758"/>
      <c r="C9" s="288" t="s">
        <v>247</v>
      </c>
      <c r="D9" s="288" t="s">
        <v>158</v>
      </c>
      <c r="E9" s="83" t="s">
        <v>248</v>
      </c>
      <c r="F9" s="83" t="s">
        <v>249</v>
      </c>
      <c r="G9" s="83" t="s">
        <v>113</v>
      </c>
      <c r="H9" s="83"/>
      <c r="I9" s="717"/>
      <c r="J9" s="288" t="s">
        <v>247</v>
      </c>
      <c r="K9" s="288" t="s">
        <v>158</v>
      </c>
      <c r="L9" s="83" t="s">
        <v>248</v>
      </c>
      <c r="M9" s="83" t="s">
        <v>249</v>
      </c>
      <c r="N9" s="83" t="s">
        <v>113</v>
      </c>
      <c r="O9" s="717"/>
    </row>
    <row r="10" spans="1:15" s="293" customFormat="1" ht="25.5" customHeight="1">
      <c r="A10" s="289">
        <v>1</v>
      </c>
      <c r="B10" s="290" t="s">
        <v>250</v>
      </c>
      <c r="C10" s="291">
        <f>+D10+E10+F10+G10</f>
        <v>1.076</v>
      </c>
      <c r="D10" s="291">
        <v>0.176</v>
      </c>
      <c r="E10" s="291"/>
      <c r="F10" s="291"/>
      <c r="G10" s="291">
        <v>0.9</v>
      </c>
      <c r="H10" s="291"/>
      <c r="I10" s="292">
        <f>+D10*194.67+E10*173.04+F10*111.72+G10*111.72</f>
        <v>134.80992</v>
      </c>
      <c r="J10" s="292">
        <f>SUM(K10:N10)</f>
        <v>0</v>
      </c>
      <c r="K10" s="292"/>
      <c r="L10" s="292"/>
      <c r="M10" s="292"/>
      <c r="N10" s="292"/>
      <c r="O10" s="292"/>
    </row>
    <row r="11" spans="1:15" s="293" customFormat="1" ht="25.5" customHeight="1">
      <c r="A11" s="294">
        <v>2</v>
      </c>
      <c r="B11" s="295" t="s">
        <v>251</v>
      </c>
      <c r="C11" s="296">
        <f aca="true" t="shared" si="0" ref="C11:C18">+D11+E11+F11+G11</f>
        <v>4.26</v>
      </c>
      <c r="D11" s="296"/>
      <c r="E11" s="296">
        <f>0.33+0.37</f>
        <v>0.7</v>
      </c>
      <c r="F11" s="296">
        <f>0.26+0.25+0.3+0.2+0.26+0.12+0.25</f>
        <v>1.6400000000000001</v>
      </c>
      <c r="G11" s="296">
        <f>0.68+0.11+0.13+0.5+0.5</f>
        <v>1.92</v>
      </c>
      <c r="H11" s="296"/>
      <c r="I11" s="297">
        <f aca="true" t="shared" si="1" ref="I11:I18">+D11*194.67+E11*173.04+F11*111.72+G11*111.72</f>
        <v>518.8512</v>
      </c>
      <c r="J11" s="297">
        <f aca="true" t="shared" si="2" ref="J11:J22">SUM(K11:N11)</f>
        <v>0</v>
      </c>
      <c r="K11" s="297"/>
      <c r="L11" s="298"/>
      <c r="M11" s="298"/>
      <c r="N11" s="298"/>
      <c r="O11" s="298"/>
    </row>
    <row r="12" spans="1:15" s="293" customFormat="1" ht="25.5" customHeight="1">
      <c r="A12" s="294">
        <v>3</v>
      </c>
      <c r="B12" s="295" t="s">
        <v>252</v>
      </c>
      <c r="C12" s="296">
        <f t="shared" si="0"/>
        <v>6.7170000000000005</v>
      </c>
      <c r="D12" s="296"/>
      <c r="E12" s="296">
        <v>0.886</v>
      </c>
      <c r="F12" s="296">
        <v>2.95</v>
      </c>
      <c r="G12" s="296">
        <v>2.881</v>
      </c>
      <c r="H12" s="296"/>
      <c r="I12" s="297">
        <f t="shared" si="1"/>
        <v>804.75276</v>
      </c>
      <c r="J12" s="297">
        <f t="shared" si="2"/>
        <v>0</v>
      </c>
      <c r="K12" s="297"/>
      <c r="L12" s="298"/>
      <c r="M12" s="298"/>
      <c r="N12" s="298"/>
      <c r="O12" s="298"/>
    </row>
    <row r="13" spans="1:15" s="293" customFormat="1" ht="25.5" customHeight="1">
      <c r="A13" s="294">
        <v>4</v>
      </c>
      <c r="B13" s="295" t="s">
        <v>253</v>
      </c>
      <c r="C13" s="296">
        <f t="shared" si="0"/>
        <v>0.4</v>
      </c>
      <c r="D13" s="296"/>
      <c r="E13" s="296">
        <v>0.1</v>
      </c>
      <c r="F13" s="296">
        <v>0.3</v>
      </c>
      <c r="G13" s="296"/>
      <c r="H13" s="296"/>
      <c r="I13" s="297">
        <f t="shared" si="1"/>
        <v>50.81999999999999</v>
      </c>
      <c r="J13" s="297">
        <f t="shared" si="2"/>
        <v>0</v>
      </c>
      <c r="K13" s="297"/>
      <c r="L13" s="298"/>
      <c r="M13" s="298"/>
      <c r="N13" s="298"/>
      <c r="O13" s="298">
        <v>41</v>
      </c>
    </row>
    <row r="14" spans="1:15" s="293" customFormat="1" ht="25.5" customHeight="1">
      <c r="A14" s="294">
        <v>5</v>
      </c>
      <c r="B14" s="295" t="s">
        <v>254</v>
      </c>
      <c r="C14" s="296">
        <f t="shared" si="0"/>
        <v>2.0269999999999997</v>
      </c>
      <c r="D14" s="296">
        <v>0.095</v>
      </c>
      <c r="E14" s="296">
        <f>0.16+0.385+0.21+0.191+0.17+0.125</f>
        <v>1.2409999999999999</v>
      </c>
      <c r="F14" s="296">
        <f>0.09+0.05+0.045+0.06+0.124+0.11+0.07+0.105+0.037</f>
        <v>0.691</v>
      </c>
      <c r="G14" s="296"/>
      <c r="H14" s="296"/>
      <c r="I14" s="297">
        <f t="shared" si="1"/>
        <v>310.43480999999997</v>
      </c>
      <c r="J14" s="297">
        <f t="shared" si="2"/>
        <v>1.9469999999999998</v>
      </c>
      <c r="K14" s="297">
        <v>0.095</v>
      </c>
      <c r="L14" s="298">
        <v>1.4</v>
      </c>
      <c r="M14" s="298">
        <v>0.452</v>
      </c>
      <c r="N14" s="298"/>
      <c r="O14" s="298">
        <v>310</v>
      </c>
    </row>
    <row r="15" spans="1:15" s="293" customFormat="1" ht="25.5" customHeight="1">
      <c r="A15" s="294">
        <v>6</v>
      </c>
      <c r="B15" s="295" t="s">
        <v>255</v>
      </c>
      <c r="C15" s="296">
        <f t="shared" si="0"/>
        <v>5.343</v>
      </c>
      <c r="D15" s="296"/>
      <c r="E15" s="296">
        <f>0.04+0.2</f>
        <v>0.24000000000000002</v>
      </c>
      <c r="F15" s="296">
        <f>5.343-E15-G15</f>
        <v>3.8629999999999995</v>
      </c>
      <c r="G15" s="296">
        <f>0.3+0.94</f>
        <v>1.24</v>
      </c>
      <c r="H15" s="296"/>
      <c r="I15" s="297">
        <f t="shared" si="1"/>
        <v>611.63676</v>
      </c>
      <c r="J15" s="297">
        <f t="shared" si="2"/>
        <v>3.85</v>
      </c>
      <c r="K15" s="297"/>
      <c r="L15" s="298"/>
      <c r="M15" s="298">
        <v>3.85</v>
      </c>
      <c r="N15" s="298"/>
      <c r="O15" s="298">
        <v>456</v>
      </c>
    </row>
    <row r="16" spans="1:15" s="293" customFormat="1" ht="25.5" customHeight="1">
      <c r="A16" s="294">
        <v>7</v>
      </c>
      <c r="B16" s="295" t="s">
        <v>256</v>
      </c>
      <c r="C16" s="296">
        <f t="shared" si="0"/>
        <v>3.2100000000000004</v>
      </c>
      <c r="D16" s="296"/>
      <c r="E16" s="296">
        <f>0.3+0.76+0.42+0.35+0.17+0.43+0.15+0.1+0.08+0.45</f>
        <v>3.2100000000000004</v>
      </c>
      <c r="F16" s="296"/>
      <c r="G16" s="296"/>
      <c r="H16" s="296"/>
      <c r="I16" s="297">
        <f t="shared" si="1"/>
        <v>555.4584000000001</v>
      </c>
      <c r="J16" s="297">
        <f t="shared" si="2"/>
        <v>0.7</v>
      </c>
      <c r="K16" s="297"/>
      <c r="L16" s="298">
        <v>0.7</v>
      </c>
      <c r="M16" s="298"/>
      <c r="N16" s="298"/>
      <c r="O16" s="298">
        <v>134</v>
      </c>
    </row>
    <row r="17" spans="1:15" s="293" customFormat="1" ht="25.5" customHeight="1">
      <c r="A17" s="294">
        <v>8</v>
      </c>
      <c r="B17" s="295" t="s">
        <v>257</v>
      </c>
      <c r="C17" s="296">
        <f t="shared" si="0"/>
        <v>4.965999999999998</v>
      </c>
      <c r="D17" s="296"/>
      <c r="E17" s="296">
        <f>0.35+0.15+0.09</f>
        <v>0.59</v>
      </c>
      <c r="F17" s="296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6"/>
      <c r="H17" s="296"/>
      <c r="I17" s="297">
        <f t="shared" si="1"/>
        <v>590.9803199999999</v>
      </c>
      <c r="J17" s="297">
        <f t="shared" si="2"/>
        <v>1</v>
      </c>
      <c r="K17" s="297"/>
      <c r="L17" s="298"/>
      <c r="M17" s="298">
        <v>1</v>
      </c>
      <c r="N17" s="298"/>
      <c r="O17" s="298">
        <v>195</v>
      </c>
    </row>
    <row r="18" spans="1:15" s="293" customFormat="1" ht="25.5" customHeight="1">
      <c r="A18" s="294">
        <v>9</v>
      </c>
      <c r="B18" s="295" t="s">
        <v>258</v>
      </c>
      <c r="C18" s="296">
        <f t="shared" si="0"/>
        <v>2.7379999999999995</v>
      </c>
      <c r="D18" s="296"/>
      <c r="E18" s="296">
        <f>0.285+0.111+0.21+0.17+0.3</f>
        <v>1.076</v>
      </c>
      <c r="F18" s="296">
        <f>0.3+0.21+0.065+0.36+0.377+0.2+0.15</f>
        <v>1.6619999999999997</v>
      </c>
      <c r="G18" s="296"/>
      <c r="H18" s="296"/>
      <c r="I18" s="297">
        <f t="shared" si="1"/>
        <v>371.86968</v>
      </c>
      <c r="J18" s="297">
        <f t="shared" si="2"/>
        <v>1.5</v>
      </c>
      <c r="K18" s="297"/>
      <c r="L18" s="298">
        <v>0.5</v>
      </c>
      <c r="M18" s="298">
        <v>1</v>
      </c>
      <c r="N18" s="298"/>
      <c r="O18" s="298">
        <v>213</v>
      </c>
    </row>
    <row r="19" spans="1:15" s="293" customFormat="1" ht="25.5" customHeight="1">
      <c r="A19" s="294">
        <v>10</v>
      </c>
      <c r="B19" s="295" t="s">
        <v>259</v>
      </c>
      <c r="C19" s="296">
        <f>+D19+E19+F19+G19</f>
        <v>0.5</v>
      </c>
      <c r="D19" s="296"/>
      <c r="E19" s="296"/>
      <c r="F19" s="296"/>
      <c r="G19" s="296">
        <v>0.5</v>
      </c>
      <c r="H19" s="296"/>
      <c r="I19" s="297">
        <f>+D19*194.67+E19*173.04+F19*111.72+G19*111.72</f>
        <v>55.86</v>
      </c>
      <c r="J19" s="297">
        <f t="shared" si="2"/>
        <v>0</v>
      </c>
      <c r="K19" s="297"/>
      <c r="L19" s="298"/>
      <c r="M19" s="298"/>
      <c r="N19" s="298"/>
      <c r="O19" s="298"/>
    </row>
    <row r="20" spans="1:15" s="293" customFormat="1" ht="25.5" customHeight="1">
      <c r="A20" s="294">
        <v>11</v>
      </c>
      <c r="B20" s="295" t="s">
        <v>260</v>
      </c>
      <c r="C20" s="296">
        <f>+D20+E20+F20+G20</f>
        <v>20.637999999999998</v>
      </c>
      <c r="D20" s="296"/>
      <c r="E20" s="296">
        <f>0.5+0.3+0.35+0.6+0.2+0.55+0.6+0.37+0.37+0.325+0.325+0.47+0.35+0.15+0.35+0.55+0.2</f>
        <v>6.56</v>
      </c>
      <c r="F20" s="296">
        <f>0.39+0.2+0.25+0.025+0.025+0.05+0.025+0.245+0.3+0.6+0.27+0.115+0.08+0.183+0.12+0.09+0.2+0.15+0.35+0.125</f>
        <v>3.7930000000000006</v>
      </c>
      <c r="G20" s="296">
        <f>1.86+1.3+1.8+2.2+2.625+0.5</f>
        <v>10.285</v>
      </c>
      <c r="H20" s="296"/>
      <c r="I20" s="297">
        <f>+D20*194.67+E20*173.04+F20*111.72+G20*111.72</f>
        <v>2707.93656</v>
      </c>
      <c r="J20" s="297">
        <f t="shared" si="2"/>
        <v>2.5</v>
      </c>
      <c r="K20" s="297"/>
      <c r="L20" s="298">
        <v>0.7</v>
      </c>
      <c r="M20" s="298">
        <v>1.8</v>
      </c>
      <c r="N20" s="298"/>
      <c r="O20" s="298">
        <v>680</v>
      </c>
    </row>
    <row r="21" spans="1:15" s="293" customFormat="1" ht="25.5" customHeight="1">
      <c r="A21" s="294">
        <v>12</v>
      </c>
      <c r="B21" s="295" t="s">
        <v>261</v>
      </c>
      <c r="C21" s="296">
        <f>+D21+E21+F21+G21</f>
        <v>9.885</v>
      </c>
      <c r="D21" s="296"/>
      <c r="E21" s="296"/>
      <c r="F21" s="296">
        <v>9.885</v>
      </c>
      <c r="G21" s="296"/>
      <c r="H21" s="296"/>
      <c r="I21" s="297">
        <f>+D21*194.67+E21*173.04+F21*111.72+G21*111.72</f>
        <v>1104.3522</v>
      </c>
      <c r="J21" s="297">
        <f t="shared" si="2"/>
        <v>0.9</v>
      </c>
      <c r="K21" s="297"/>
      <c r="L21" s="298"/>
      <c r="M21" s="298">
        <v>0.9</v>
      </c>
      <c r="N21" s="298"/>
      <c r="O21" s="298">
        <v>208</v>
      </c>
    </row>
    <row r="22" spans="1:15" s="293" customFormat="1" ht="25.5" customHeight="1">
      <c r="A22" s="299">
        <v>13</v>
      </c>
      <c r="B22" s="300" t="s">
        <v>262</v>
      </c>
      <c r="C22" s="301">
        <f>+D22+E22+F22+G22</f>
        <v>7.9</v>
      </c>
      <c r="D22" s="301"/>
      <c r="E22" s="301">
        <f>0.43+0.2+0.2</f>
        <v>0.8300000000000001</v>
      </c>
      <c r="F22" s="301">
        <f>0.263+0.23+0.2+0.25+0.3+0.35+0.2+0.15+0.2+0.2+0.2+0.1+0.2</f>
        <v>2.8430000000000004</v>
      </c>
      <c r="G22" s="301">
        <f>0.255+0.432+0.285+0.2+0.2+0.2+0.445+0.25+0.3+0.25+0.66+0.5+0.25</f>
        <v>4.227</v>
      </c>
      <c r="H22" s="301"/>
      <c r="I22" s="302">
        <f>+D22*194.67+E22*173.04+F22*111.72+G22*111.72</f>
        <v>933.4836</v>
      </c>
      <c r="J22" s="302">
        <f t="shared" si="2"/>
        <v>4.4</v>
      </c>
      <c r="K22" s="302"/>
      <c r="L22" s="303"/>
      <c r="M22" s="303"/>
      <c r="N22" s="303">
        <v>4.4</v>
      </c>
      <c r="O22" s="303">
        <v>499.9</v>
      </c>
    </row>
    <row r="23" spans="1:15" s="293" customFormat="1" ht="25.5" customHeight="1">
      <c r="A23" s="756" t="s">
        <v>185</v>
      </c>
      <c r="B23" s="756"/>
      <c r="C23" s="304">
        <f>SUM(C10:C22)</f>
        <v>69.66</v>
      </c>
      <c r="D23" s="304">
        <f aca="true" t="shared" si="3" ref="D23:I23">SUM(D10:D22)</f>
        <v>0.271</v>
      </c>
      <c r="E23" s="304">
        <f t="shared" si="3"/>
        <v>15.433000000000002</v>
      </c>
      <c r="F23" s="304">
        <f t="shared" si="3"/>
        <v>32.003</v>
      </c>
      <c r="G23" s="304">
        <f t="shared" si="3"/>
        <v>21.953</v>
      </c>
      <c r="H23" s="304"/>
      <c r="I23" s="305">
        <f t="shared" si="3"/>
        <v>8751.246210000001</v>
      </c>
      <c r="J23" s="305">
        <f aca="true" t="shared" si="4" ref="J23:O23">+SUM(J10:J22)</f>
        <v>16.797</v>
      </c>
      <c r="K23" s="305">
        <f t="shared" si="4"/>
        <v>0.095</v>
      </c>
      <c r="L23" s="305">
        <f t="shared" si="4"/>
        <v>3.3</v>
      </c>
      <c r="M23" s="305">
        <f t="shared" si="4"/>
        <v>9.002</v>
      </c>
      <c r="N23" s="305">
        <f t="shared" si="4"/>
        <v>4.4</v>
      </c>
      <c r="O23" s="306">
        <f t="shared" si="4"/>
        <v>2736.9</v>
      </c>
    </row>
    <row r="24" spans="1:9" s="307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7" customFormat="1" ht="15.75">
      <c r="A25" s="719"/>
      <c r="B25" s="719"/>
      <c r="C25" s="719"/>
      <c r="D25" s="719"/>
      <c r="E25" s="719"/>
      <c r="F25" s="719"/>
      <c r="G25" s="719"/>
      <c r="H25" s="719"/>
      <c r="I25" s="719"/>
    </row>
    <row r="26" spans="1:9" s="307" customFormat="1" ht="15.75">
      <c r="A26" s="73"/>
      <c r="B26" s="73"/>
      <c r="C26" s="73"/>
      <c r="D26" s="73"/>
      <c r="E26" s="73"/>
      <c r="F26" s="308"/>
      <c r="G26" s="73"/>
      <c r="H26" s="73"/>
      <c r="I26" s="309"/>
    </row>
    <row r="27" spans="1:9" s="307" customFormat="1" ht="15.75">
      <c r="A27" s="73"/>
      <c r="B27" s="106"/>
      <c r="C27" s="106"/>
      <c r="D27" s="106"/>
      <c r="E27" s="310"/>
      <c r="F27" s="106"/>
      <c r="G27" s="310"/>
      <c r="H27" s="310"/>
      <c r="I27" s="310"/>
    </row>
    <row r="28" spans="1:9" s="307" customFormat="1" ht="15.75">
      <c r="A28" s="73"/>
      <c r="B28" s="106"/>
      <c r="C28" s="106"/>
      <c r="D28" s="106"/>
      <c r="E28" s="310"/>
      <c r="F28" s="106"/>
      <c r="G28" s="310"/>
      <c r="H28" s="310"/>
      <c r="I28" s="310"/>
    </row>
    <row r="29" spans="1:9" s="307" customFormat="1" ht="15.75">
      <c r="A29" s="73"/>
      <c r="B29" s="106"/>
      <c r="C29" s="106"/>
      <c r="D29" s="106"/>
      <c r="E29" s="310"/>
      <c r="F29" s="106"/>
      <c r="G29" s="310"/>
      <c r="H29" s="310"/>
      <c r="I29" s="310"/>
    </row>
    <row r="30" spans="1:9" s="307" customFormat="1" ht="15.75">
      <c r="A30" s="73"/>
      <c r="B30" s="73"/>
      <c r="C30" s="73"/>
      <c r="D30" s="73"/>
      <c r="E30" s="311"/>
      <c r="F30" s="73"/>
      <c r="G30" s="73"/>
      <c r="H30" s="73"/>
      <c r="I30" s="311"/>
    </row>
    <row r="31" spans="1:9" s="307" customFormat="1" ht="15.75">
      <c r="A31" s="73"/>
      <c r="B31" s="73"/>
      <c r="C31" s="73"/>
      <c r="D31" s="73"/>
      <c r="E31" s="73"/>
      <c r="F31" s="73"/>
      <c r="G31" s="73"/>
      <c r="H31" s="73"/>
      <c r="I31" s="311"/>
    </row>
    <row r="32" spans="1:9" s="307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7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7" customFormat="1" ht="12.75">
      <c r="A34" s="74"/>
      <c r="B34" s="74"/>
      <c r="C34" s="74"/>
      <c r="D34" s="74"/>
      <c r="E34" s="74"/>
      <c r="F34" s="74"/>
      <c r="G34" s="74"/>
      <c r="H34" s="74"/>
      <c r="I34" s="312"/>
    </row>
    <row r="35" spans="1:9" s="307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7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7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7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7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7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7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J8:N8"/>
    <mergeCell ref="O8:O9"/>
    <mergeCell ref="A1:F1"/>
    <mergeCell ref="A2:F2"/>
    <mergeCell ref="A4:E4"/>
    <mergeCell ref="I4:N4"/>
    <mergeCell ref="I5:N5"/>
    <mergeCell ref="A6:N6"/>
    <mergeCell ref="A23:B23"/>
    <mergeCell ref="A25:I25"/>
    <mergeCell ref="A8:A9"/>
    <mergeCell ref="B8:B9"/>
    <mergeCell ref="C8:G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73" t="s">
        <v>0</v>
      </c>
      <c r="B1" s="773"/>
      <c r="C1" s="773"/>
      <c r="D1" s="773"/>
      <c r="E1" s="773"/>
      <c r="F1" s="773"/>
      <c r="G1" s="773"/>
      <c r="H1" s="773"/>
      <c r="I1" s="773"/>
      <c r="J1" s="1"/>
      <c r="K1" s="2"/>
      <c r="L1" s="2"/>
      <c r="M1" s="773" t="s">
        <v>1</v>
      </c>
      <c r="N1" s="773"/>
      <c r="O1" s="773"/>
      <c r="P1" s="773"/>
      <c r="Q1" s="773"/>
      <c r="W1" s="774" t="s">
        <v>1</v>
      </c>
      <c r="X1" s="774"/>
      <c r="Y1" s="774"/>
      <c r="Z1" s="774"/>
      <c r="AA1" s="774"/>
      <c r="AB1" s="774"/>
    </row>
    <row r="2" spans="1:28" s="3" customFormat="1" ht="15.75">
      <c r="A2" s="773" t="s">
        <v>263</v>
      </c>
      <c r="B2" s="773"/>
      <c r="C2" s="773"/>
      <c r="D2" s="773"/>
      <c r="E2" s="773"/>
      <c r="F2" s="773"/>
      <c r="G2" s="773"/>
      <c r="H2" s="773"/>
      <c r="I2" s="773"/>
      <c r="J2" s="1"/>
      <c r="K2" s="2"/>
      <c r="L2" s="2"/>
      <c r="M2" s="773" t="s">
        <v>3</v>
      </c>
      <c r="N2" s="773"/>
      <c r="O2" s="773"/>
      <c r="P2" s="773"/>
      <c r="Q2" s="773"/>
      <c r="W2" s="774" t="s">
        <v>101</v>
      </c>
      <c r="X2" s="774"/>
      <c r="Y2" s="774"/>
      <c r="Z2" s="774"/>
      <c r="AA2" s="774"/>
      <c r="AB2" s="774"/>
    </row>
    <row r="3" spans="1:16" s="3" customFormat="1" ht="9" customHeight="1">
      <c r="A3" s="4"/>
      <c r="O3" s="4"/>
      <c r="P3" s="4"/>
    </row>
    <row r="4" spans="1:21" ht="15.75">
      <c r="A4" s="313"/>
      <c r="B4" s="313"/>
      <c r="C4" s="313"/>
      <c r="D4" s="313"/>
      <c r="E4" s="313"/>
      <c r="F4" s="313"/>
      <c r="G4" s="313"/>
      <c r="H4" s="313"/>
      <c r="I4" s="313"/>
      <c r="J4" s="314">
        <v>0.4</v>
      </c>
      <c r="K4" s="314">
        <v>0.2</v>
      </c>
      <c r="L4" s="314">
        <v>0.4</v>
      </c>
      <c r="M4" s="314"/>
      <c r="N4" s="314">
        <v>0.3</v>
      </c>
      <c r="O4" s="314">
        <v>0.1</v>
      </c>
      <c r="P4" s="314">
        <v>0.6</v>
      </c>
      <c r="Q4" s="314"/>
      <c r="R4" s="314">
        <v>0.6</v>
      </c>
      <c r="S4" s="314">
        <v>0.3</v>
      </c>
      <c r="T4" s="314">
        <v>0.1</v>
      </c>
      <c r="U4" s="315"/>
    </row>
    <row r="5" spans="1:43" s="316" customFormat="1" ht="27.75" customHeight="1">
      <c r="A5" s="764" t="s">
        <v>5</v>
      </c>
      <c r="B5" s="764" t="s">
        <v>102</v>
      </c>
      <c r="C5" s="761" t="s">
        <v>103</v>
      </c>
      <c r="D5" s="762"/>
      <c r="E5" s="762"/>
      <c r="F5" s="762"/>
      <c r="G5" s="762"/>
      <c r="H5" s="763"/>
      <c r="I5" s="761" t="s">
        <v>264</v>
      </c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3"/>
      <c r="V5" s="771" t="s">
        <v>265</v>
      </c>
      <c r="W5" s="761" t="s">
        <v>462</v>
      </c>
      <c r="X5" s="762"/>
      <c r="Y5" s="762"/>
      <c r="Z5" s="762"/>
      <c r="AA5" s="762"/>
      <c r="AB5" s="763"/>
      <c r="AC5" s="761" t="s">
        <v>264</v>
      </c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3"/>
      <c r="AP5" s="764" t="s">
        <v>265</v>
      </c>
      <c r="AQ5" s="766" t="s">
        <v>266</v>
      </c>
    </row>
    <row r="6" spans="1:43" ht="111.75" customHeight="1">
      <c r="A6" s="765"/>
      <c r="B6" s="765"/>
      <c r="C6" s="317" t="s">
        <v>267</v>
      </c>
      <c r="D6" s="317" t="s">
        <v>268</v>
      </c>
      <c r="E6" s="317" t="s">
        <v>269</v>
      </c>
      <c r="F6" s="317" t="s">
        <v>270</v>
      </c>
      <c r="G6" s="317" t="s">
        <v>271</v>
      </c>
      <c r="H6" s="317" t="s">
        <v>272</v>
      </c>
      <c r="I6" s="768" t="s">
        <v>273</v>
      </c>
      <c r="J6" s="769"/>
      <c r="K6" s="769"/>
      <c r="L6" s="770"/>
      <c r="M6" s="768" t="s">
        <v>274</v>
      </c>
      <c r="N6" s="769"/>
      <c r="O6" s="769"/>
      <c r="P6" s="770"/>
      <c r="Q6" s="768" t="s">
        <v>275</v>
      </c>
      <c r="R6" s="769"/>
      <c r="S6" s="769"/>
      <c r="T6" s="770"/>
      <c r="U6" s="318" t="s">
        <v>276</v>
      </c>
      <c r="V6" s="772"/>
      <c r="W6" s="317" t="s">
        <v>267</v>
      </c>
      <c r="X6" s="317" t="s">
        <v>268</v>
      </c>
      <c r="Y6" s="317" t="s">
        <v>269</v>
      </c>
      <c r="Z6" s="317" t="s">
        <v>270</v>
      </c>
      <c r="AA6" s="317" t="s">
        <v>271</v>
      </c>
      <c r="AB6" s="317" t="s">
        <v>272</v>
      </c>
      <c r="AC6" s="768" t="s">
        <v>273</v>
      </c>
      <c r="AD6" s="769"/>
      <c r="AE6" s="769"/>
      <c r="AF6" s="770"/>
      <c r="AG6" s="768" t="s">
        <v>274</v>
      </c>
      <c r="AH6" s="769"/>
      <c r="AI6" s="769"/>
      <c r="AJ6" s="770"/>
      <c r="AK6" s="768" t="s">
        <v>275</v>
      </c>
      <c r="AL6" s="769"/>
      <c r="AM6" s="769"/>
      <c r="AN6" s="770"/>
      <c r="AO6" s="318" t="s">
        <v>276</v>
      </c>
      <c r="AP6" s="765"/>
      <c r="AQ6" s="767"/>
    </row>
    <row r="7" spans="1:43" ht="20.25" customHeight="1">
      <c r="A7" s="319">
        <v>1</v>
      </c>
      <c r="B7" s="320" t="s">
        <v>277</v>
      </c>
      <c r="C7" s="321">
        <f aca="true" t="shared" si="0" ref="C7:C23">+D7+E7+F7+G7+H7</f>
        <v>2.743</v>
      </c>
      <c r="D7" s="298"/>
      <c r="E7" s="298"/>
      <c r="F7" s="298">
        <v>2.743</v>
      </c>
      <c r="G7" s="298"/>
      <c r="H7" s="298"/>
      <c r="I7" s="322">
        <f>+J7+K7+L7</f>
        <v>0</v>
      </c>
      <c r="J7" s="323">
        <f>+E7*1000*3.5*0.16*309*$J$4/1000</f>
        <v>0</v>
      </c>
      <c r="K7" s="323">
        <f>+E7*1000*3.5*0.16*309*$K$4/1000</f>
        <v>0</v>
      </c>
      <c r="L7" s="323">
        <f>+E7*1000*3.5*0.16*309*$L$4/1000</f>
        <v>0</v>
      </c>
      <c r="M7" s="324">
        <f>+N7+O7+P7</f>
        <v>306.44796</v>
      </c>
      <c r="N7" s="325">
        <f>+F7*1000*3*0.14*266*$N$4/1000</f>
        <v>91.93438800000001</v>
      </c>
      <c r="O7" s="325">
        <f>+F7*1000*3*0.14*266*$O$4/1000</f>
        <v>30.644796000000003</v>
      </c>
      <c r="P7" s="325">
        <f>+F7*1000*3*0.14*266*$P$4/1000</f>
        <v>183.86877600000003</v>
      </c>
      <c r="Q7" s="322">
        <f>+R7+S7+T7</f>
        <v>0</v>
      </c>
      <c r="R7" s="325">
        <f>+G7*1000*3*0.14*266*$R$4/1000</f>
        <v>0</v>
      </c>
      <c r="S7" s="326">
        <f>+G7*1000*3*0.14*266*$S$4/1000</f>
        <v>0</v>
      </c>
      <c r="T7" s="326">
        <f>+G7*1000*3*0.14*266*$T$4/1000</f>
        <v>0</v>
      </c>
      <c r="U7" s="326">
        <f>+H7*1000*3*0.16*0.266</f>
        <v>0</v>
      </c>
      <c r="V7" s="327">
        <f>+Q7+M7+I7+U7</f>
        <v>306.44796</v>
      </c>
      <c r="W7" s="321">
        <f>SUM(X7:AB7)</f>
        <v>0</v>
      </c>
      <c r="X7" s="298"/>
      <c r="Y7" s="298"/>
      <c r="Z7" s="298"/>
      <c r="AA7" s="298"/>
      <c r="AB7" s="298"/>
      <c r="AC7" s="322"/>
      <c r="AD7" s="323"/>
      <c r="AE7" s="323"/>
      <c r="AF7" s="323"/>
      <c r="AG7" s="324"/>
      <c r="AH7" s="325"/>
      <c r="AI7" s="325"/>
      <c r="AJ7" s="325"/>
      <c r="AK7" s="322"/>
      <c r="AL7" s="325"/>
      <c r="AM7" s="326"/>
      <c r="AN7" s="326"/>
      <c r="AO7" s="326"/>
      <c r="AP7" s="327"/>
      <c r="AQ7" s="290"/>
    </row>
    <row r="8" spans="1:43" ht="20.25" customHeight="1">
      <c r="A8" s="319">
        <v>2</v>
      </c>
      <c r="B8" s="320" t="s">
        <v>278</v>
      </c>
      <c r="C8" s="321">
        <f t="shared" si="0"/>
        <v>5.58</v>
      </c>
      <c r="D8" s="298"/>
      <c r="E8" s="298">
        <v>2.815</v>
      </c>
      <c r="F8" s="298">
        <v>2.765</v>
      </c>
      <c r="G8" s="298"/>
      <c r="H8" s="298"/>
      <c r="I8" s="328">
        <f aca="true" t="shared" si="1" ref="I8:I23">+J8+K8+L8</f>
        <v>487.1076000000001</v>
      </c>
      <c r="J8" s="329">
        <f aca="true" t="shared" si="2" ref="J8:J23">+E8*1000*3.5*0.16*309*$J$4/1000</f>
        <v>194.84304000000003</v>
      </c>
      <c r="K8" s="329">
        <f aca="true" t="shared" si="3" ref="K8:K23">+E8*1000*3.5*0.16*309*$K$4/1000</f>
        <v>97.42152000000002</v>
      </c>
      <c r="L8" s="329">
        <f aca="true" t="shared" si="4" ref="L8:L23">+E8*1000*3.5*0.16*309*$L$4/1000</f>
        <v>194.84304000000003</v>
      </c>
      <c r="M8" s="330">
        <f aca="true" t="shared" si="5" ref="M8:M23">+N8+O8+P8</f>
        <v>308.9058</v>
      </c>
      <c r="N8" s="331">
        <f aca="true" t="shared" si="6" ref="N8:N23">+F8*1000*3*0.14*266*$N$4/1000</f>
        <v>92.67174</v>
      </c>
      <c r="O8" s="331">
        <f aca="true" t="shared" si="7" ref="O8:O23">+F8*1000*3*0.14*266*$O$4/1000</f>
        <v>30.890580000000007</v>
      </c>
      <c r="P8" s="331">
        <f aca="true" t="shared" si="8" ref="P8:P23">+F8*1000*3*0.14*266*$P$4/1000</f>
        <v>185.34348</v>
      </c>
      <c r="Q8" s="328">
        <f aca="true" t="shared" si="9" ref="Q8:Q23">+R8+S8+T8</f>
        <v>0</v>
      </c>
      <c r="R8" s="331">
        <f aca="true" t="shared" si="10" ref="R8:R23">+G8*1000*3*0.14*266*$R$4/1000</f>
        <v>0</v>
      </c>
      <c r="S8" s="332">
        <f aca="true" t="shared" si="11" ref="S8:S23">+G8*1000*3*0.14*266*$S$4/1000</f>
        <v>0</v>
      </c>
      <c r="T8" s="332">
        <f aca="true" t="shared" si="12" ref="T8:T23">+G8*1000*3*0.14*266*$T$4/1000</f>
        <v>0</v>
      </c>
      <c r="U8" s="332">
        <f aca="true" t="shared" si="13" ref="U8:U23">+H8*1000*3*0.16*0.266</f>
        <v>0</v>
      </c>
      <c r="V8" s="333">
        <f aca="true" t="shared" si="14" ref="V8:V23">+Q8+M8+I8+U8</f>
        <v>796.0134</v>
      </c>
      <c r="W8" s="321">
        <f aca="true" t="shared" si="15" ref="W8:W23">SUM(X8:AB8)</f>
        <v>0</v>
      </c>
      <c r="X8" s="298"/>
      <c r="Y8" s="298"/>
      <c r="Z8" s="298"/>
      <c r="AA8" s="298"/>
      <c r="AB8" s="298"/>
      <c r="AC8" s="328"/>
      <c r="AD8" s="329"/>
      <c r="AE8" s="329"/>
      <c r="AF8" s="329"/>
      <c r="AG8" s="330"/>
      <c r="AH8" s="331"/>
      <c r="AI8" s="331"/>
      <c r="AJ8" s="331"/>
      <c r="AK8" s="328"/>
      <c r="AL8" s="331"/>
      <c r="AM8" s="332"/>
      <c r="AN8" s="332"/>
      <c r="AO8" s="332"/>
      <c r="AP8" s="333"/>
      <c r="AQ8" s="295"/>
    </row>
    <row r="9" spans="1:43" ht="20.25" customHeight="1">
      <c r="A9" s="319">
        <v>3</v>
      </c>
      <c r="B9" s="320" t="s">
        <v>279</v>
      </c>
      <c r="C9" s="321">
        <f t="shared" si="0"/>
        <v>2</v>
      </c>
      <c r="D9" s="298"/>
      <c r="E9" s="298"/>
      <c r="F9" s="298"/>
      <c r="G9" s="298">
        <v>2</v>
      </c>
      <c r="H9" s="298"/>
      <c r="I9" s="328">
        <f t="shared" si="1"/>
        <v>0</v>
      </c>
      <c r="J9" s="329">
        <f t="shared" si="2"/>
        <v>0</v>
      </c>
      <c r="K9" s="329">
        <f t="shared" si="3"/>
        <v>0</v>
      </c>
      <c r="L9" s="329">
        <f t="shared" si="4"/>
        <v>0</v>
      </c>
      <c r="M9" s="330">
        <f t="shared" si="5"/>
        <v>0</v>
      </c>
      <c r="N9" s="331">
        <f t="shared" si="6"/>
        <v>0</v>
      </c>
      <c r="O9" s="331">
        <f t="shared" si="7"/>
        <v>0</v>
      </c>
      <c r="P9" s="331">
        <f t="shared" si="8"/>
        <v>0</v>
      </c>
      <c r="Q9" s="328">
        <f t="shared" si="9"/>
        <v>223.44</v>
      </c>
      <c r="R9" s="331">
        <f t="shared" si="10"/>
        <v>134.064</v>
      </c>
      <c r="S9" s="332">
        <f t="shared" si="11"/>
        <v>67.032</v>
      </c>
      <c r="T9" s="332">
        <f t="shared" si="12"/>
        <v>22.344000000000005</v>
      </c>
      <c r="U9" s="332">
        <f t="shared" si="13"/>
        <v>0</v>
      </c>
      <c r="V9" s="333">
        <f t="shared" si="14"/>
        <v>223.44</v>
      </c>
      <c r="W9" s="321">
        <f t="shared" si="15"/>
        <v>0</v>
      </c>
      <c r="X9" s="298"/>
      <c r="Y9" s="298"/>
      <c r="Z9" s="298"/>
      <c r="AA9" s="298"/>
      <c r="AB9" s="298"/>
      <c r="AC9" s="328"/>
      <c r="AD9" s="329"/>
      <c r="AE9" s="329"/>
      <c r="AF9" s="329"/>
      <c r="AG9" s="330"/>
      <c r="AH9" s="331"/>
      <c r="AI9" s="331"/>
      <c r="AJ9" s="331"/>
      <c r="AK9" s="328"/>
      <c r="AL9" s="331"/>
      <c r="AM9" s="332"/>
      <c r="AN9" s="332"/>
      <c r="AO9" s="332"/>
      <c r="AP9" s="333"/>
      <c r="AQ9" s="295"/>
    </row>
    <row r="10" spans="1:43" ht="20.25" customHeight="1">
      <c r="A10" s="319">
        <v>4</v>
      </c>
      <c r="B10" s="320" t="s">
        <v>280</v>
      </c>
      <c r="C10" s="321">
        <f t="shared" si="0"/>
        <v>7.785</v>
      </c>
      <c r="D10" s="298"/>
      <c r="E10" s="298">
        <v>6.775</v>
      </c>
      <c r="F10" s="298">
        <v>1.01</v>
      </c>
      <c r="G10" s="298"/>
      <c r="H10" s="298"/>
      <c r="I10" s="328">
        <f t="shared" si="1"/>
        <v>1172.346</v>
      </c>
      <c r="J10" s="329">
        <f t="shared" si="2"/>
        <v>468.9384</v>
      </c>
      <c r="K10" s="329">
        <f t="shared" si="3"/>
        <v>234.4692</v>
      </c>
      <c r="L10" s="329">
        <f t="shared" si="4"/>
        <v>468.9384</v>
      </c>
      <c r="M10" s="330">
        <f t="shared" si="5"/>
        <v>112.8372</v>
      </c>
      <c r="N10" s="331">
        <f t="shared" si="6"/>
        <v>33.85116</v>
      </c>
      <c r="O10" s="331">
        <f t="shared" si="7"/>
        <v>11.28372</v>
      </c>
      <c r="P10" s="331">
        <f t="shared" si="8"/>
        <v>67.70232</v>
      </c>
      <c r="Q10" s="328">
        <f t="shared" si="9"/>
        <v>0</v>
      </c>
      <c r="R10" s="331">
        <f t="shared" si="10"/>
        <v>0</v>
      </c>
      <c r="S10" s="332">
        <f t="shared" si="11"/>
        <v>0</v>
      </c>
      <c r="T10" s="332">
        <f t="shared" si="12"/>
        <v>0</v>
      </c>
      <c r="U10" s="332">
        <f t="shared" si="13"/>
        <v>0</v>
      </c>
      <c r="V10" s="333">
        <f t="shared" si="14"/>
        <v>1285.1832</v>
      </c>
      <c r="W10" s="321">
        <f t="shared" si="15"/>
        <v>0</v>
      </c>
      <c r="X10" s="298"/>
      <c r="Y10" s="298"/>
      <c r="Z10" s="298"/>
      <c r="AA10" s="298"/>
      <c r="AB10" s="298"/>
      <c r="AC10" s="328"/>
      <c r="AD10" s="329"/>
      <c r="AE10" s="329"/>
      <c r="AF10" s="329"/>
      <c r="AG10" s="330"/>
      <c r="AH10" s="331"/>
      <c r="AI10" s="331"/>
      <c r="AJ10" s="331"/>
      <c r="AK10" s="328"/>
      <c r="AL10" s="331"/>
      <c r="AM10" s="332"/>
      <c r="AN10" s="332"/>
      <c r="AO10" s="332"/>
      <c r="AP10" s="333"/>
      <c r="AQ10" s="295"/>
    </row>
    <row r="11" spans="1:43" ht="20.25" customHeight="1">
      <c r="A11" s="319">
        <v>5</v>
      </c>
      <c r="B11" s="320" t="s">
        <v>281</v>
      </c>
      <c r="C11" s="321">
        <f t="shared" si="0"/>
        <v>5.012</v>
      </c>
      <c r="D11" s="298"/>
      <c r="E11" s="298">
        <f>3.252+0.27</f>
        <v>3.522</v>
      </c>
      <c r="F11" s="298">
        <v>1.315</v>
      </c>
      <c r="G11" s="298">
        <v>0.175</v>
      </c>
      <c r="H11" s="298"/>
      <c r="I11" s="328">
        <f t="shared" si="1"/>
        <v>609.44688</v>
      </c>
      <c r="J11" s="329">
        <f t="shared" si="2"/>
        <v>243.778752</v>
      </c>
      <c r="K11" s="329">
        <f t="shared" si="3"/>
        <v>121.889376</v>
      </c>
      <c r="L11" s="329">
        <f t="shared" si="4"/>
        <v>243.778752</v>
      </c>
      <c r="M11" s="330">
        <f t="shared" si="5"/>
        <v>146.9118</v>
      </c>
      <c r="N11" s="331">
        <f t="shared" si="6"/>
        <v>44.07354</v>
      </c>
      <c r="O11" s="331">
        <f t="shared" si="7"/>
        <v>14.691180000000003</v>
      </c>
      <c r="P11" s="331">
        <f t="shared" si="8"/>
        <v>88.14708</v>
      </c>
      <c r="Q11" s="328">
        <f t="shared" si="9"/>
        <v>19.551000000000002</v>
      </c>
      <c r="R11" s="331">
        <f t="shared" si="10"/>
        <v>11.7306</v>
      </c>
      <c r="S11" s="332">
        <f t="shared" si="11"/>
        <v>5.8653</v>
      </c>
      <c r="T11" s="332">
        <f t="shared" si="12"/>
        <v>1.9551</v>
      </c>
      <c r="U11" s="332">
        <f t="shared" si="13"/>
        <v>0</v>
      </c>
      <c r="V11" s="333">
        <f t="shared" si="14"/>
        <v>775.90968</v>
      </c>
      <c r="W11" s="321">
        <f t="shared" si="15"/>
        <v>0</v>
      </c>
      <c r="X11" s="298"/>
      <c r="Y11" s="298"/>
      <c r="Z11" s="298"/>
      <c r="AA11" s="298"/>
      <c r="AB11" s="298"/>
      <c r="AC11" s="328"/>
      <c r="AD11" s="329"/>
      <c r="AE11" s="329"/>
      <c r="AF11" s="329"/>
      <c r="AG11" s="330"/>
      <c r="AH11" s="331"/>
      <c r="AI11" s="331"/>
      <c r="AJ11" s="331"/>
      <c r="AK11" s="328"/>
      <c r="AL11" s="331"/>
      <c r="AM11" s="332"/>
      <c r="AN11" s="332"/>
      <c r="AO11" s="332"/>
      <c r="AP11" s="333"/>
      <c r="AQ11" s="295"/>
    </row>
    <row r="12" spans="1:43" ht="20.25" customHeight="1">
      <c r="A12" s="319">
        <v>6</v>
      </c>
      <c r="B12" s="320" t="s">
        <v>282</v>
      </c>
      <c r="C12" s="321">
        <f t="shared" si="0"/>
        <v>1.93</v>
      </c>
      <c r="D12" s="298"/>
      <c r="E12" s="298"/>
      <c r="F12" s="298">
        <v>1.93</v>
      </c>
      <c r="G12" s="298"/>
      <c r="H12" s="298"/>
      <c r="I12" s="328">
        <f t="shared" si="1"/>
        <v>0</v>
      </c>
      <c r="J12" s="329">
        <f t="shared" si="2"/>
        <v>0</v>
      </c>
      <c r="K12" s="329">
        <f t="shared" si="3"/>
        <v>0</v>
      </c>
      <c r="L12" s="329">
        <f t="shared" si="4"/>
        <v>0</v>
      </c>
      <c r="M12" s="330">
        <f t="shared" si="5"/>
        <v>215.6196</v>
      </c>
      <c r="N12" s="331">
        <f t="shared" si="6"/>
        <v>64.68588</v>
      </c>
      <c r="O12" s="331">
        <f t="shared" si="7"/>
        <v>21.561960000000003</v>
      </c>
      <c r="P12" s="331">
        <f t="shared" si="8"/>
        <v>129.37176</v>
      </c>
      <c r="Q12" s="328">
        <f t="shared" si="9"/>
        <v>0</v>
      </c>
      <c r="R12" s="331">
        <f t="shared" si="10"/>
        <v>0</v>
      </c>
      <c r="S12" s="332">
        <f t="shared" si="11"/>
        <v>0</v>
      </c>
      <c r="T12" s="332">
        <f t="shared" si="12"/>
        <v>0</v>
      </c>
      <c r="U12" s="332">
        <f t="shared" si="13"/>
        <v>0</v>
      </c>
      <c r="V12" s="333">
        <f t="shared" si="14"/>
        <v>215.6196</v>
      </c>
      <c r="W12" s="321">
        <f t="shared" si="15"/>
        <v>0</v>
      </c>
      <c r="X12" s="298"/>
      <c r="Y12" s="298"/>
      <c r="Z12" s="298"/>
      <c r="AA12" s="298"/>
      <c r="AB12" s="298"/>
      <c r="AC12" s="328"/>
      <c r="AD12" s="329"/>
      <c r="AE12" s="329"/>
      <c r="AF12" s="329"/>
      <c r="AG12" s="330"/>
      <c r="AH12" s="331"/>
      <c r="AI12" s="331"/>
      <c r="AJ12" s="331"/>
      <c r="AK12" s="328"/>
      <c r="AL12" s="331"/>
      <c r="AM12" s="332"/>
      <c r="AN12" s="332"/>
      <c r="AO12" s="332"/>
      <c r="AP12" s="333"/>
      <c r="AQ12" s="295"/>
    </row>
    <row r="13" spans="1:43" ht="20.25" customHeight="1">
      <c r="A13" s="319">
        <v>7</v>
      </c>
      <c r="B13" s="320" t="s">
        <v>283</v>
      </c>
      <c r="C13" s="321">
        <f t="shared" si="0"/>
        <v>5.38</v>
      </c>
      <c r="D13" s="298"/>
      <c r="E13" s="298">
        <v>3.743</v>
      </c>
      <c r="F13" s="298">
        <v>1.517</v>
      </c>
      <c r="G13" s="298">
        <v>0.12</v>
      </c>
      <c r="H13" s="298"/>
      <c r="I13" s="328">
        <f t="shared" si="1"/>
        <v>647.6887200000001</v>
      </c>
      <c r="J13" s="329">
        <f t="shared" si="2"/>
        <v>259.075488</v>
      </c>
      <c r="K13" s="329">
        <f t="shared" si="3"/>
        <v>129.537744</v>
      </c>
      <c r="L13" s="329">
        <f t="shared" si="4"/>
        <v>259.075488</v>
      </c>
      <c r="M13" s="330">
        <f t="shared" si="5"/>
        <v>169.47924</v>
      </c>
      <c r="N13" s="331">
        <f t="shared" si="6"/>
        <v>50.843772</v>
      </c>
      <c r="O13" s="331">
        <f t="shared" si="7"/>
        <v>16.947924000000004</v>
      </c>
      <c r="P13" s="331">
        <f t="shared" si="8"/>
        <v>101.687544</v>
      </c>
      <c r="Q13" s="328">
        <f t="shared" si="9"/>
        <v>13.4064</v>
      </c>
      <c r="R13" s="331">
        <f t="shared" si="10"/>
        <v>8.04384</v>
      </c>
      <c r="S13" s="332">
        <f t="shared" si="11"/>
        <v>4.02192</v>
      </c>
      <c r="T13" s="332">
        <f t="shared" si="12"/>
        <v>1.3406400000000003</v>
      </c>
      <c r="U13" s="332">
        <f t="shared" si="13"/>
        <v>0</v>
      </c>
      <c r="V13" s="333">
        <f t="shared" si="14"/>
        <v>830.5743600000001</v>
      </c>
      <c r="W13" s="321">
        <f t="shared" si="15"/>
        <v>0</v>
      </c>
      <c r="X13" s="298"/>
      <c r="Y13" s="298"/>
      <c r="Z13" s="298"/>
      <c r="AA13" s="298"/>
      <c r="AB13" s="298"/>
      <c r="AC13" s="328"/>
      <c r="AD13" s="329"/>
      <c r="AE13" s="329"/>
      <c r="AF13" s="329"/>
      <c r="AG13" s="330"/>
      <c r="AH13" s="331"/>
      <c r="AI13" s="331"/>
      <c r="AJ13" s="331"/>
      <c r="AK13" s="328"/>
      <c r="AL13" s="331"/>
      <c r="AM13" s="332"/>
      <c r="AN13" s="332"/>
      <c r="AO13" s="332"/>
      <c r="AP13" s="333"/>
      <c r="AQ13" s="295"/>
    </row>
    <row r="14" spans="1:43" ht="20.25" customHeight="1">
      <c r="A14" s="319">
        <v>8</v>
      </c>
      <c r="B14" s="320" t="s">
        <v>284</v>
      </c>
      <c r="C14" s="321">
        <f t="shared" si="0"/>
        <v>2.8519999999999994</v>
      </c>
      <c r="D14" s="298"/>
      <c r="E14" s="298">
        <v>2.102</v>
      </c>
      <c r="F14" s="298">
        <v>0.49</v>
      </c>
      <c r="G14" s="298"/>
      <c r="H14" s="298">
        <v>0.26</v>
      </c>
      <c r="I14" s="328">
        <f t="shared" si="1"/>
        <v>363.73008</v>
      </c>
      <c r="J14" s="329">
        <f t="shared" si="2"/>
        <v>145.492032</v>
      </c>
      <c r="K14" s="329">
        <f t="shared" si="3"/>
        <v>72.746016</v>
      </c>
      <c r="L14" s="329">
        <f t="shared" si="4"/>
        <v>145.492032</v>
      </c>
      <c r="M14" s="330">
        <f t="shared" si="5"/>
        <v>54.7428</v>
      </c>
      <c r="N14" s="331">
        <f t="shared" si="6"/>
        <v>16.42284</v>
      </c>
      <c r="O14" s="331">
        <f t="shared" si="7"/>
        <v>5.47428</v>
      </c>
      <c r="P14" s="331">
        <f t="shared" si="8"/>
        <v>32.84568</v>
      </c>
      <c r="Q14" s="328">
        <f t="shared" si="9"/>
        <v>0</v>
      </c>
      <c r="R14" s="331">
        <f t="shared" si="10"/>
        <v>0</v>
      </c>
      <c r="S14" s="332">
        <f t="shared" si="11"/>
        <v>0</v>
      </c>
      <c r="T14" s="332">
        <f t="shared" si="12"/>
        <v>0</v>
      </c>
      <c r="U14" s="332">
        <f t="shared" si="13"/>
        <v>33.1968</v>
      </c>
      <c r="V14" s="333">
        <f t="shared" si="14"/>
        <v>451.66967999999997</v>
      </c>
      <c r="W14" s="321">
        <f t="shared" si="15"/>
        <v>0</v>
      </c>
      <c r="X14" s="298"/>
      <c r="Y14" s="298"/>
      <c r="Z14" s="298"/>
      <c r="AA14" s="298"/>
      <c r="AB14" s="298"/>
      <c r="AC14" s="328"/>
      <c r="AD14" s="329"/>
      <c r="AE14" s="329"/>
      <c r="AF14" s="329"/>
      <c r="AG14" s="330"/>
      <c r="AH14" s="331"/>
      <c r="AI14" s="331"/>
      <c r="AJ14" s="331"/>
      <c r="AK14" s="328"/>
      <c r="AL14" s="331"/>
      <c r="AM14" s="332"/>
      <c r="AN14" s="332"/>
      <c r="AO14" s="332"/>
      <c r="AP14" s="333"/>
      <c r="AQ14" s="295"/>
    </row>
    <row r="15" spans="1:43" ht="20.25" customHeight="1">
      <c r="A15" s="319">
        <v>9</v>
      </c>
      <c r="B15" s="320" t="s">
        <v>285</v>
      </c>
      <c r="C15" s="321">
        <f t="shared" si="0"/>
        <v>8.4</v>
      </c>
      <c r="D15" s="298"/>
      <c r="E15" s="298">
        <v>6.4</v>
      </c>
      <c r="F15" s="298">
        <v>2</v>
      </c>
      <c r="G15" s="298"/>
      <c r="H15" s="298"/>
      <c r="I15" s="328">
        <f t="shared" si="1"/>
        <v>1107.4560000000001</v>
      </c>
      <c r="J15" s="329">
        <f t="shared" si="2"/>
        <v>442.98240000000004</v>
      </c>
      <c r="K15" s="329">
        <f t="shared" si="3"/>
        <v>221.49120000000002</v>
      </c>
      <c r="L15" s="329">
        <f t="shared" si="4"/>
        <v>442.98240000000004</v>
      </c>
      <c r="M15" s="330">
        <f t="shared" si="5"/>
        <v>223.44</v>
      </c>
      <c r="N15" s="331">
        <f t="shared" si="6"/>
        <v>67.032</v>
      </c>
      <c r="O15" s="331">
        <f t="shared" si="7"/>
        <v>22.344000000000005</v>
      </c>
      <c r="P15" s="331">
        <f t="shared" si="8"/>
        <v>134.064</v>
      </c>
      <c r="Q15" s="328">
        <f t="shared" si="9"/>
        <v>0</v>
      </c>
      <c r="R15" s="331">
        <f t="shared" si="10"/>
        <v>0</v>
      </c>
      <c r="S15" s="332">
        <f t="shared" si="11"/>
        <v>0</v>
      </c>
      <c r="T15" s="332">
        <f t="shared" si="12"/>
        <v>0</v>
      </c>
      <c r="U15" s="332">
        <f t="shared" si="13"/>
        <v>0</v>
      </c>
      <c r="V15" s="333">
        <f t="shared" si="14"/>
        <v>1330.8960000000002</v>
      </c>
      <c r="W15" s="321">
        <f t="shared" si="15"/>
        <v>0</v>
      </c>
      <c r="X15" s="298"/>
      <c r="Y15" s="298"/>
      <c r="Z15" s="298"/>
      <c r="AA15" s="298"/>
      <c r="AB15" s="298"/>
      <c r="AC15" s="328"/>
      <c r="AD15" s="329"/>
      <c r="AE15" s="329"/>
      <c r="AF15" s="329"/>
      <c r="AG15" s="330"/>
      <c r="AH15" s="331"/>
      <c r="AI15" s="331"/>
      <c r="AJ15" s="331"/>
      <c r="AK15" s="328"/>
      <c r="AL15" s="331"/>
      <c r="AM15" s="332"/>
      <c r="AN15" s="332"/>
      <c r="AO15" s="332"/>
      <c r="AP15" s="333"/>
      <c r="AQ15" s="295"/>
    </row>
    <row r="16" spans="1:43" ht="20.25" customHeight="1">
      <c r="A16" s="319">
        <v>10</v>
      </c>
      <c r="B16" s="320" t="s">
        <v>286</v>
      </c>
      <c r="C16" s="321">
        <f t="shared" si="0"/>
        <v>5.6499999999999995</v>
      </c>
      <c r="D16" s="298"/>
      <c r="E16" s="298">
        <v>0.25</v>
      </c>
      <c r="F16" s="298">
        <v>4.8</v>
      </c>
      <c r="G16" s="298">
        <v>0.6</v>
      </c>
      <c r="H16" s="298"/>
      <c r="I16" s="328">
        <f t="shared" si="1"/>
        <v>43.25999999999999</v>
      </c>
      <c r="J16" s="329">
        <f t="shared" si="2"/>
        <v>17.304</v>
      </c>
      <c r="K16" s="329">
        <f t="shared" si="3"/>
        <v>8.652</v>
      </c>
      <c r="L16" s="329">
        <f t="shared" si="4"/>
        <v>17.304</v>
      </c>
      <c r="M16" s="330">
        <f t="shared" si="5"/>
        <v>536.2560000000001</v>
      </c>
      <c r="N16" s="331">
        <f t="shared" si="6"/>
        <v>160.87680000000003</v>
      </c>
      <c r="O16" s="331">
        <f t="shared" si="7"/>
        <v>53.62560000000001</v>
      </c>
      <c r="P16" s="331">
        <f t="shared" si="8"/>
        <v>321.75360000000006</v>
      </c>
      <c r="Q16" s="328">
        <f t="shared" si="9"/>
        <v>67.03200000000001</v>
      </c>
      <c r="R16" s="331">
        <f t="shared" si="10"/>
        <v>40.21920000000001</v>
      </c>
      <c r="S16" s="332">
        <f t="shared" si="11"/>
        <v>20.109600000000004</v>
      </c>
      <c r="T16" s="332">
        <f t="shared" si="12"/>
        <v>6.703200000000002</v>
      </c>
      <c r="U16" s="332">
        <f t="shared" si="13"/>
        <v>0</v>
      </c>
      <c r="V16" s="333">
        <f t="shared" si="14"/>
        <v>646.5480000000001</v>
      </c>
      <c r="W16" s="321">
        <f t="shared" si="15"/>
        <v>0</v>
      </c>
      <c r="X16" s="298"/>
      <c r="Y16" s="298"/>
      <c r="Z16" s="298"/>
      <c r="AA16" s="298"/>
      <c r="AB16" s="298"/>
      <c r="AC16" s="328"/>
      <c r="AD16" s="329"/>
      <c r="AE16" s="329"/>
      <c r="AF16" s="329"/>
      <c r="AG16" s="330"/>
      <c r="AH16" s="331"/>
      <c r="AI16" s="331"/>
      <c r="AJ16" s="331"/>
      <c r="AK16" s="328"/>
      <c r="AL16" s="331"/>
      <c r="AM16" s="332"/>
      <c r="AN16" s="332"/>
      <c r="AO16" s="332"/>
      <c r="AP16" s="333"/>
      <c r="AQ16" s="295"/>
    </row>
    <row r="17" spans="1:43" ht="20.25" customHeight="1">
      <c r="A17" s="319">
        <v>11</v>
      </c>
      <c r="B17" s="320" t="s">
        <v>287</v>
      </c>
      <c r="C17" s="321">
        <f t="shared" si="0"/>
        <v>22.8</v>
      </c>
      <c r="D17" s="298"/>
      <c r="E17" s="298"/>
      <c r="F17" s="298">
        <v>14.3</v>
      </c>
      <c r="G17" s="298">
        <v>6.5</v>
      </c>
      <c r="H17" s="298">
        <v>2</v>
      </c>
      <c r="I17" s="328">
        <f t="shared" si="1"/>
        <v>0</v>
      </c>
      <c r="J17" s="329">
        <f t="shared" si="2"/>
        <v>0</v>
      </c>
      <c r="K17" s="329">
        <f t="shared" si="3"/>
        <v>0</v>
      </c>
      <c r="L17" s="329">
        <f t="shared" si="4"/>
        <v>0</v>
      </c>
      <c r="M17" s="330">
        <f t="shared" si="5"/>
        <v>1597.5960000000002</v>
      </c>
      <c r="N17" s="331">
        <f t="shared" si="6"/>
        <v>479.27880000000005</v>
      </c>
      <c r="O17" s="331">
        <f t="shared" si="7"/>
        <v>159.75960000000003</v>
      </c>
      <c r="P17" s="331">
        <f t="shared" si="8"/>
        <v>958.5576000000001</v>
      </c>
      <c r="Q17" s="328">
        <f t="shared" si="9"/>
        <v>726.1800000000002</v>
      </c>
      <c r="R17" s="331">
        <f t="shared" si="10"/>
        <v>435.7080000000001</v>
      </c>
      <c r="S17" s="332">
        <f t="shared" si="11"/>
        <v>217.85400000000004</v>
      </c>
      <c r="T17" s="332">
        <f t="shared" si="12"/>
        <v>72.61800000000001</v>
      </c>
      <c r="U17" s="332">
        <f t="shared" si="13"/>
        <v>255.36</v>
      </c>
      <c r="V17" s="333">
        <f t="shared" si="14"/>
        <v>2579.1360000000004</v>
      </c>
      <c r="W17" s="321">
        <f t="shared" si="15"/>
        <v>0</v>
      </c>
      <c r="X17" s="298"/>
      <c r="Y17" s="298"/>
      <c r="Z17" s="298"/>
      <c r="AA17" s="298"/>
      <c r="AB17" s="298"/>
      <c r="AC17" s="328"/>
      <c r="AD17" s="329"/>
      <c r="AE17" s="329"/>
      <c r="AF17" s="329"/>
      <c r="AG17" s="330"/>
      <c r="AH17" s="331"/>
      <c r="AI17" s="331"/>
      <c r="AJ17" s="331"/>
      <c r="AK17" s="328"/>
      <c r="AL17" s="331"/>
      <c r="AM17" s="332"/>
      <c r="AN17" s="332"/>
      <c r="AO17" s="332"/>
      <c r="AP17" s="333"/>
      <c r="AQ17" s="295"/>
    </row>
    <row r="18" spans="1:43" ht="20.25" customHeight="1">
      <c r="A18" s="319">
        <v>12</v>
      </c>
      <c r="B18" s="320" t="s">
        <v>288</v>
      </c>
      <c r="C18" s="321">
        <f t="shared" si="0"/>
        <v>9.482</v>
      </c>
      <c r="D18" s="298"/>
      <c r="E18" s="298">
        <v>4.86</v>
      </c>
      <c r="F18" s="298">
        <v>4.622</v>
      </c>
      <c r="G18" s="298"/>
      <c r="H18" s="298"/>
      <c r="I18" s="328">
        <f t="shared" si="1"/>
        <v>840.9744000000001</v>
      </c>
      <c r="J18" s="329">
        <f t="shared" si="2"/>
        <v>336.38976</v>
      </c>
      <c r="K18" s="329">
        <f t="shared" si="3"/>
        <v>168.19488</v>
      </c>
      <c r="L18" s="329">
        <f t="shared" si="4"/>
        <v>336.38976</v>
      </c>
      <c r="M18" s="330">
        <f t="shared" si="5"/>
        <v>516.3698400000001</v>
      </c>
      <c r="N18" s="331">
        <f t="shared" si="6"/>
        <v>154.910952</v>
      </c>
      <c r="O18" s="331">
        <f t="shared" si="7"/>
        <v>51.63698400000001</v>
      </c>
      <c r="P18" s="331">
        <f t="shared" si="8"/>
        <v>309.821904</v>
      </c>
      <c r="Q18" s="328">
        <f t="shared" si="9"/>
        <v>0</v>
      </c>
      <c r="R18" s="331">
        <f t="shared" si="10"/>
        <v>0</v>
      </c>
      <c r="S18" s="332">
        <f t="shared" si="11"/>
        <v>0</v>
      </c>
      <c r="T18" s="332">
        <f t="shared" si="12"/>
        <v>0</v>
      </c>
      <c r="U18" s="332">
        <f t="shared" si="13"/>
        <v>0</v>
      </c>
      <c r="V18" s="333">
        <f t="shared" si="14"/>
        <v>1357.3442400000001</v>
      </c>
      <c r="W18" s="321">
        <f t="shared" si="15"/>
        <v>0</v>
      </c>
      <c r="X18" s="298"/>
      <c r="Y18" s="298"/>
      <c r="Z18" s="298"/>
      <c r="AA18" s="298"/>
      <c r="AB18" s="298"/>
      <c r="AC18" s="328"/>
      <c r="AD18" s="329"/>
      <c r="AE18" s="329"/>
      <c r="AF18" s="329"/>
      <c r="AG18" s="330"/>
      <c r="AH18" s="331"/>
      <c r="AI18" s="331"/>
      <c r="AJ18" s="331"/>
      <c r="AK18" s="328"/>
      <c r="AL18" s="331"/>
      <c r="AM18" s="332"/>
      <c r="AN18" s="332"/>
      <c r="AO18" s="332"/>
      <c r="AP18" s="333"/>
      <c r="AQ18" s="295"/>
    </row>
    <row r="19" spans="1:43" ht="20.25" customHeight="1">
      <c r="A19" s="319">
        <v>13</v>
      </c>
      <c r="B19" s="320" t="s">
        <v>289</v>
      </c>
      <c r="C19" s="321">
        <f t="shared" si="0"/>
        <v>9.57</v>
      </c>
      <c r="D19" s="298"/>
      <c r="E19" s="298">
        <v>3</v>
      </c>
      <c r="F19" s="298">
        <v>4.57</v>
      </c>
      <c r="G19" s="298">
        <v>2</v>
      </c>
      <c r="H19" s="298"/>
      <c r="I19" s="328">
        <f t="shared" si="1"/>
        <v>519.12</v>
      </c>
      <c r="J19" s="329">
        <f t="shared" si="2"/>
        <v>207.648</v>
      </c>
      <c r="K19" s="329">
        <f t="shared" si="3"/>
        <v>103.824</v>
      </c>
      <c r="L19" s="329">
        <f t="shared" si="4"/>
        <v>207.648</v>
      </c>
      <c r="M19" s="330">
        <f t="shared" si="5"/>
        <v>510.56039999999996</v>
      </c>
      <c r="N19" s="331">
        <f t="shared" si="6"/>
        <v>153.16812</v>
      </c>
      <c r="O19" s="331">
        <f t="shared" si="7"/>
        <v>51.05604000000001</v>
      </c>
      <c r="P19" s="331">
        <f t="shared" si="8"/>
        <v>306.33624</v>
      </c>
      <c r="Q19" s="328">
        <f t="shared" si="9"/>
        <v>223.44</v>
      </c>
      <c r="R19" s="331">
        <f t="shared" si="10"/>
        <v>134.064</v>
      </c>
      <c r="S19" s="332">
        <f t="shared" si="11"/>
        <v>67.032</v>
      </c>
      <c r="T19" s="332">
        <f t="shared" si="12"/>
        <v>22.344000000000005</v>
      </c>
      <c r="U19" s="332">
        <f t="shared" si="13"/>
        <v>0</v>
      </c>
      <c r="V19" s="333">
        <f t="shared" si="14"/>
        <v>1253.1203999999998</v>
      </c>
      <c r="W19" s="321">
        <f t="shared" si="15"/>
        <v>0</v>
      </c>
      <c r="X19" s="298"/>
      <c r="Y19" s="298"/>
      <c r="Z19" s="298"/>
      <c r="AA19" s="298"/>
      <c r="AB19" s="298"/>
      <c r="AC19" s="328"/>
      <c r="AD19" s="329"/>
      <c r="AE19" s="329"/>
      <c r="AF19" s="329"/>
      <c r="AG19" s="330"/>
      <c r="AH19" s="331"/>
      <c r="AI19" s="331"/>
      <c r="AJ19" s="331"/>
      <c r="AK19" s="328"/>
      <c r="AL19" s="331"/>
      <c r="AM19" s="332"/>
      <c r="AN19" s="332"/>
      <c r="AO19" s="332"/>
      <c r="AP19" s="333"/>
      <c r="AQ19" s="295"/>
    </row>
    <row r="20" spans="1:43" ht="20.25" customHeight="1">
      <c r="A20" s="319">
        <v>14</v>
      </c>
      <c r="B20" s="320" t="s">
        <v>290</v>
      </c>
      <c r="C20" s="321">
        <f t="shared" si="0"/>
        <v>3.4400000000000004</v>
      </c>
      <c r="D20" s="298"/>
      <c r="E20" s="298">
        <v>1.65</v>
      </c>
      <c r="F20" s="298">
        <v>1.09</v>
      </c>
      <c r="G20" s="298">
        <v>0.7</v>
      </c>
      <c r="H20" s="298"/>
      <c r="I20" s="328">
        <f t="shared" si="1"/>
        <v>285.51599999999996</v>
      </c>
      <c r="J20" s="329">
        <f t="shared" si="2"/>
        <v>114.2064</v>
      </c>
      <c r="K20" s="329">
        <f t="shared" si="3"/>
        <v>57.1032</v>
      </c>
      <c r="L20" s="329">
        <f t="shared" si="4"/>
        <v>114.2064</v>
      </c>
      <c r="M20" s="330">
        <f t="shared" si="5"/>
        <v>121.7748</v>
      </c>
      <c r="N20" s="331">
        <f t="shared" si="6"/>
        <v>36.53244</v>
      </c>
      <c r="O20" s="331">
        <f t="shared" si="7"/>
        <v>12.177480000000003</v>
      </c>
      <c r="P20" s="331">
        <f t="shared" si="8"/>
        <v>73.06488</v>
      </c>
      <c r="Q20" s="328">
        <f t="shared" si="9"/>
        <v>78.20400000000001</v>
      </c>
      <c r="R20" s="331">
        <f t="shared" si="10"/>
        <v>46.9224</v>
      </c>
      <c r="S20" s="332">
        <f t="shared" si="11"/>
        <v>23.4612</v>
      </c>
      <c r="T20" s="332">
        <f t="shared" si="12"/>
        <v>7.8204</v>
      </c>
      <c r="U20" s="332">
        <f t="shared" si="13"/>
        <v>0</v>
      </c>
      <c r="V20" s="333">
        <f t="shared" si="14"/>
        <v>485.49479999999994</v>
      </c>
      <c r="W20" s="321">
        <f t="shared" si="15"/>
        <v>0.26</v>
      </c>
      <c r="X20" s="298"/>
      <c r="Y20" s="298"/>
      <c r="Z20" s="539">
        <v>0.26</v>
      </c>
      <c r="AA20" s="298"/>
      <c r="AC20" s="328"/>
      <c r="AD20" s="329"/>
      <c r="AE20" s="329"/>
      <c r="AF20" s="329"/>
      <c r="AG20" s="330"/>
      <c r="AH20" s="331"/>
      <c r="AI20" s="331"/>
      <c r="AJ20" s="331"/>
      <c r="AK20" s="328"/>
      <c r="AL20" s="331"/>
      <c r="AM20" s="332"/>
      <c r="AN20" s="332"/>
      <c r="AO20" s="332"/>
      <c r="AP20" s="333"/>
      <c r="AQ20" s="298">
        <v>90</v>
      </c>
    </row>
    <row r="21" spans="1:43" ht="20.25" customHeight="1">
      <c r="A21" s="319">
        <v>15</v>
      </c>
      <c r="B21" s="320" t="s">
        <v>291</v>
      </c>
      <c r="C21" s="321">
        <f t="shared" si="0"/>
        <v>10.489999999999998</v>
      </c>
      <c r="D21" s="298"/>
      <c r="E21" s="298">
        <v>2</v>
      </c>
      <c r="F21" s="298">
        <v>3.35</v>
      </c>
      <c r="G21" s="298">
        <v>5.14</v>
      </c>
      <c r="H21" s="298"/>
      <c r="I21" s="328">
        <f t="shared" si="1"/>
        <v>346.0799999999999</v>
      </c>
      <c r="J21" s="329">
        <f t="shared" si="2"/>
        <v>138.432</v>
      </c>
      <c r="K21" s="329">
        <f t="shared" si="3"/>
        <v>69.216</v>
      </c>
      <c r="L21" s="329">
        <f t="shared" si="4"/>
        <v>138.432</v>
      </c>
      <c r="M21" s="330">
        <f t="shared" si="5"/>
        <v>374.26200000000006</v>
      </c>
      <c r="N21" s="331">
        <f t="shared" si="6"/>
        <v>112.27860000000003</v>
      </c>
      <c r="O21" s="331">
        <f t="shared" si="7"/>
        <v>37.4262</v>
      </c>
      <c r="P21" s="331">
        <f t="shared" si="8"/>
        <v>224.55720000000005</v>
      </c>
      <c r="Q21" s="328">
        <f t="shared" si="9"/>
        <v>574.2408</v>
      </c>
      <c r="R21" s="331">
        <f t="shared" si="10"/>
        <v>344.54448</v>
      </c>
      <c r="S21" s="332">
        <f t="shared" si="11"/>
        <v>172.27224</v>
      </c>
      <c r="T21" s="332">
        <f t="shared" si="12"/>
        <v>57.42408000000001</v>
      </c>
      <c r="U21" s="332">
        <f t="shared" si="13"/>
        <v>0</v>
      </c>
      <c r="V21" s="333">
        <f t="shared" si="14"/>
        <v>1294.5828000000001</v>
      </c>
      <c r="W21" s="321">
        <f t="shared" si="15"/>
        <v>0</v>
      </c>
      <c r="X21" s="298"/>
      <c r="Y21" s="298"/>
      <c r="Z21" s="298"/>
      <c r="AA21" s="298"/>
      <c r="AB21" s="298"/>
      <c r="AC21" s="328"/>
      <c r="AD21" s="329"/>
      <c r="AE21" s="329"/>
      <c r="AF21" s="329"/>
      <c r="AG21" s="330"/>
      <c r="AH21" s="331"/>
      <c r="AI21" s="331"/>
      <c r="AJ21" s="331"/>
      <c r="AK21" s="328"/>
      <c r="AL21" s="331"/>
      <c r="AM21" s="332"/>
      <c r="AN21" s="332"/>
      <c r="AO21" s="332"/>
      <c r="AP21" s="333"/>
      <c r="AQ21" s="295"/>
    </row>
    <row r="22" spans="1:43" ht="20.25" customHeight="1">
      <c r="A22" s="319">
        <v>16</v>
      </c>
      <c r="B22" s="320" t="s">
        <v>292</v>
      </c>
      <c r="C22" s="321">
        <f t="shared" si="0"/>
        <v>10.445</v>
      </c>
      <c r="D22" s="298"/>
      <c r="E22" s="298">
        <v>3.5</v>
      </c>
      <c r="F22" s="298">
        <v>1.13</v>
      </c>
      <c r="G22" s="298">
        <v>5.815</v>
      </c>
      <c r="H22" s="298"/>
      <c r="I22" s="328">
        <f t="shared" si="1"/>
        <v>605.64</v>
      </c>
      <c r="J22" s="329">
        <f t="shared" si="2"/>
        <v>242.256</v>
      </c>
      <c r="K22" s="329">
        <f t="shared" si="3"/>
        <v>121.128</v>
      </c>
      <c r="L22" s="329">
        <f t="shared" si="4"/>
        <v>242.256</v>
      </c>
      <c r="M22" s="330">
        <f t="shared" si="5"/>
        <v>126.24360000000001</v>
      </c>
      <c r="N22" s="331">
        <f t="shared" si="6"/>
        <v>37.87308</v>
      </c>
      <c r="O22" s="331">
        <f t="shared" si="7"/>
        <v>12.624360000000001</v>
      </c>
      <c r="P22" s="331">
        <f t="shared" si="8"/>
        <v>75.74616</v>
      </c>
      <c r="Q22" s="328">
        <f t="shared" si="9"/>
        <v>649.6518000000001</v>
      </c>
      <c r="R22" s="331">
        <f t="shared" si="10"/>
        <v>389.79108</v>
      </c>
      <c r="S22" s="332">
        <f t="shared" si="11"/>
        <v>194.89554</v>
      </c>
      <c r="T22" s="332">
        <f t="shared" si="12"/>
        <v>64.96518</v>
      </c>
      <c r="U22" s="332">
        <f t="shared" si="13"/>
        <v>0</v>
      </c>
      <c r="V22" s="333">
        <f t="shared" si="14"/>
        <v>1381.5354000000002</v>
      </c>
      <c r="W22" s="321">
        <f t="shared" si="15"/>
        <v>0</v>
      </c>
      <c r="X22" s="298"/>
      <c r="Y22" s="298"/>
      <c r="Z22" s="298"/>
      <c r="AA22" s="298"/>
      <c r="AB22" s="298"/>
      <c r="AC22" s="328"/>
      <c r="AD22" s="329"/>
      <c r="AE22" s="329"/>
      <c r="AF22" s="329"/>
      <c r="AG22" s="330"/>
      <c r="AH22" s="331"/>
      <c r="AI22" s="331"/>
      <c r="AJ22" s="331"/>
      <c r="AK22" s="328"/>
      <c r="AL22" s="331"/>
      <c r="AM22" s="332"/>
      <c r="AN22" s="332"/>
      <c r="AO22" s="332"/>
      <c r="AP22" s="333"/>
      <c r="AQ22" s="295"/>
    </row>
    <row r="23" spans="1:43" ht="20.25" customHeight="1">
      <c r="A23" s="334">
        <v>17</v>
      </c>
      <c r="B23" s="335" t="s">
        <v>293</v>
      </c>
      <c r="C23" s="336">
        <f t="shared" si="0"/>
        <v>2.3</v>
      </c>
      <c r="D23" s="337"/>
      <c r="E23" s="337"/>
      <c r="F23" s="337">
        <v>1.75</v>
      </c>
      <c r="G23" s="337">
        <v>0.55</v>
      </c>
      <c r="H23" s="337"/>
      <c r="I23" s="338">
        <f t="shared" si="1"/>
        <v>0</v>
      </c>
      <c r="J23" s="339">
        <f t="shared" si="2"/>
        <v>0</v>
      </c>
      <c r="K23" s="339">
        <f t="shared" si="3"/>
        <v>0</v>
      </c>
      <c r="L23" s="339">
        <f t="shared" si="4"/>
        <v>0</v>
      </c>
      <c r="M23" s="340">
        <f t="shared" si="5"/>
        <v>195.51000000000002</v>
      </c>
      <c r="N23" s="341">
        <f t="shared" si="6"/>
        <v>58.653000000000006</v>
      </c>
      <c r="O23" s="341">
        <f t="shared" si="7"/>
        <v>19.551000000000002</v>
      </c>
      <c r="P23" s="341">
        <f t="shared" si="8"/>
        <v>117.30600000000001</v>
      </c>
      <c r="Q23" s="338">
        <f t="shared" si="9"/>
        <v>61.446000000000005</v>
      </c>
      <c r="R23" s="341">
        <f t="shared" si="10"/>
        <v>36.8676</v>
      </c>
      <c r="S23" s="342">
        <f t="shared" si="11"/>
        <v>18.4338</v>
      </c>
      <c r="T23" s="342">
        <f t="shared" si="12"/>
        <v>6.144600000000001</v>
      </c>
      <c r="U23" s="342">
        <f t="shared" si="13"/>
        <v>0</v>
      </c>
      <c r="V23" s="343">
        <f t="shared" si="14"/>
        <v>256.956</v>
      </c>
      <c r="W23" s="321">
        <f t="shared" si="15"/>
        <v>0</v>
      </c>
      <c r="X23" s="337"/>
      <c r="Y23" s="337"/>
      <c r="Z23" s="337"/>
      <c r="AA23" s="337"/>
      <c r="AB23" s="337"/>
      <c r="AC23" s="338"/>
      <c r="AD23" s="339"/>
      <c r="AE23" s="339"/>
      <c r="AF23" s="339"/>
      <c r="AG23" s="340"/>
      <c r="AH23" s="341"/>
      <c r="AI23" s="341"/>
      <c r="AJ23" s="341"/>
      <c r="AK23" s="338"/>
      <c r="AL23" s="341"/>
      <c r="AM23" s="342"/>
      <c r="AN23" s="342"/>
      <c r="AO23" s="342"/>
      <c r="AP23" s="343"/>
      <c r="AQ23" s="344"/>
    </row>
    <row r="24" spans="1:43" ht="20.25" customHeight="1">
      <c r="A24" s="345"/>
      <c r="B24" s="346" t="s">
        <v>294</v>
      </c>
      <c r="C24" s="347">
        <f aca="true" t="shared" si="16" ref="C24:H24">SUM(C7:C23)</f>
        <v>115.859</v>
      </c>
      <c r="D24" s="347">
        <f t="shared" si="16"/>
        <v>0</v>
      </c>
      <c r="E24" s="347">
        <f t="shared" si="16"/>
        <v>40.617</v>
      </c>
      <c r="F24" s="347">
        <f t="shared" si="16"/>
        <v>49.38200000000001</v>
      </c>
      <c r="G24" s="347">
        <f t="shared" si="16"/>
        <v>23.6</v>
      </c>
      <c r="H24" s="347">
        <f t="shared" si="16"/>
        <v>2.26</v>
      </c>
      <c r="I24" s="348">
        <f aca="true" t="shared" si="17" ref="I24:U24">SUM(I7:I23)</f>
        <v>7028.36568</v>
      </c>
      <c r="J24" s="349">
        <f t="shared" si="17"/>
        <v>2811.346272</v>
      </c>
      <c r="K24" s="349">
        <f t="shared" si="17"/>
        <v>1405.673136</v>
      </c>
      <c r="L24" s="349">
        <f t="shared" si="17"/>
        <v>2811.346272</v>
      </c>
      <c r="M24" s="349">
        <f t="shared" si="17"/>
        <v>5516.957040000001</v>
      </c>
      <c r="N24" s="349">
        <f t="shared" si="17"/>
        <v>1655.0871120000002</v>
      </c>
      <c r="O24" s="349">
        <f t="shared" si="17"/>
        <v>551.6957040000001</v>
      </c>
      <c r="P24" s="349">
        <f t="shared" si="17"/>
        <v>3310.1742240000003</v>
      </c>
      <c r="Q24" s="349">
        <f t="shared" si="17"/>
        <v>2636.5920000000006</v>
      </c>
      <c r="R24" s="349">
        <f t="shared" si="17"/>
        <v>1581.9552</v>
      </c>
      <c r="S24" s="349">
        <f t="shared" si="17"/>
        <v>790.9776</v>
      </c>
      <c r="T24" s="349">
        <f t="shared" si="17"/>
        <v>263.65920000000006</v>
      </c>
      <c r="U24" s="349">
        <f t="shared" si="17"/>
        <v>288.5568</v>
      </c>
      <c r="V24" s="349">
        <f>ROUND(SUM(V7:V23),-1)</f>
        <v>15470</v>
      </c>
      <c r="W24" s="347">
        <f aca="true" t="shared" si="18" ref="W24:AB24">SUM(W7:W23)</f>
        <v>0.26</v>
      </c>
      <c r="X24" s="347">
        <f t="shared" si="18"/>
        <v>0</v>
      </c>
      <c r="Y24" s="347">
        <f t="shared" si="18"/>
        <v>0</v>
      </c>
      <c r="Z24" s="347">
        <f t="shared" si="18"/>
        <v>0.26</v>
      </c>
      <c r="AA24" s="347">
        <f t="shared" si="18"/>
        <v>0</v>
      </c>
      <c r="AB24" s="347">
        <f t="shared" si="18"/>
        <v>0</v>
      </c>
      <c r="AC24" s="349">
        <f aca="true" t="shared" si="19" ref="AC24:AQ24">ROUND(SUM(AC7:AC23),-1)</f>
        <v>0</v>
      </c>
      <c r="AD24" s="349">
        <f t="shared" si="19"/>
        <v>0</v>
      </c>
      <c r="AE24" s="349">
        <f t="shared" si="19"/>
        <v>0</v>
      </c>
      <c r="AF24" s="349">
        <f t="shared" si="19"/>
        <v>0</v>
      </c>
      <c r="AG24" s="349">
        <f t="shared" si="19"/>
        <v>0</v>
      </c>
      <c r="AH24" s="349">
        <f t="shared" si="19"/>
        <v>0</v>
      </c>
      <c r="AI24" s="349">
        <f t="shared" si="19"/>
        <v>0</v>
      </c>
      <c r="AJ24" s="349">
        <f t="shared" si="19"/>
        <v>0</v>
      </c>
      <c r="AK24" s="349">
        <f t="shared" si="19"/>
        <v>0</v>
      </c>
      <c r="AL24" s="349">
        <f t="shared" si="19"/>
        <v>0</v>
      </c>
      <c r="AM24" s="349">
        <f t="shared" si="19"/>
        <v>0</v>
      </c>
      <c r="AN24" s="349">
        <f t="shared" si="19"/>
        <v>0</v>
      </c>
      <c r="AO24" s="349">
        <f t="shared" si="19"/>
        <v>0</v>
      </c>
      <c r="AP24" s="349">
        <f t="shared" si="19"/>
        <v>0</v>
      </c>
      <c r="AQ24" s="349">
        <f t="shared" si="19"/>
        <v>90</v>
      </c>
    </row>
    <row r="25" spans="1:18" ht="15.7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21" ht="19.5" customHeight="1">
      <c r="A26" s="350"/>
      <c r="B26" s="352"/>
      <c r="C26" s="352"/>
      <c r="D26" s="352"/>
      <c r="E26" s="353"/>
      <c r="F26" s="354"/>
      <c r="G26" s="354"/>
      <c r="H26" s="353"/>
      <c r="I26" s="353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5:21" ht="18" customHeight="1"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</row>
    <row r="28" spans="5:9" ht="15.75">
      <c r="E28" s="357"/>
      <c r="F28" s="357"/>
      <c r="G28" s="357"/>
      <c r="H28" s="358"/>
      <c r="I28" s="358"/>
    </row>
    <row r="29" spans="5:7" ht="15.75">
      <c r="E29" s="357"/>
      <c r="F29" s="357"/>
      <c r="G29" s="357"/>
    </row>
  </sheetData>
  <sheetProtection/>
  <mergeCells count="21">
    <mergeCell ref="A1:I1"/>
    <mergeCell ref="M1:Q1"/>
    <mergeCell ref="W1:AB1"/>
    <mergeCell ref="A2:I2"/>
    <mergeCell ref="M2:Q2"/>
    <mergeCell ref="W2:AB2"/>
    <mergeCell ref="A5:A6"/>
    <mergeCell ref="B5:B6"/>
    <mergeCell ref="C5:H5"/>
    <mergeCell ref="I5:U5"/>
    <mergeCell ref="V5:V6"/>
    <mergeCell ref="W5:AB5"/>
    <mergeCell ref="AC5:AO5"/>
    <mergeCell ref="AP5:AP6"/>
    <mergeCell ref="AQ5:AQ6"/>
    <mergeCell ref="I6:L6"/>
    <mergeCell ref="M6:P6"/>
    <mergeCell ref="Q6:T6"/>
    <mergeCell ref="AC6:AF6"/>
    <mergeCell ref="AG6:AJ6"/>
    <mergeCell ref="AK6:A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59" customFormat="1" ht="52.5" customHeight="1">
      <c r="A1" s="782" t="s">
        <v>295</v>
      </c>
      <c r="B1" s="783"/>
      <c r="C1" s="783"/>
      <c r="D1" s="783"/>
      <c r="E1" s="783"/>
      <c r="F1" s="783"/>
      <c r="G1" s="783"/>
      <c r="H1" s="782" t="s">
        <v>296</v>
      </c>
      <c r="I1" s="782"/>
      <c r="J1" s="782"/>
      <c r="K1" s="782"/>
      <c r="L1" s="782"/>
      <c r="M1" s="782"/>
      <c r="N1" s="782"/>
      <c r="O1" s="782"/>
      <c r="P1" s="782"/>
      <c r="Q1" s="782"/>
    </row>
    <row r="2" s="359" customFormat="1" ht="5.25" customHeight="1" hidden="1"/>
    <row r="3" spans="1:17" s="359" customFormat="1" ht="38.25" customHeight="1" hidden="1">
      <c r="A3" s="784" t="s">
        <v>297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</row>
    <row r="4" s="359" customFormat="1" ht="11.25" customHeight="1"/>
    <row r="5" spans="1:17" s="359" customFormat="1" ht="39.75" customHeight="1">
      <c r="A5" s="757" t="s">
        <v>5</v>
      </c>
      <c r="B5" s="716" t="s">
        <v>298</v>
      </c>
      <c r="C5" s="786" t="s">
        <v>7</v>
      </c>
      <c r="D5" s="787"/>
      <c r="E5" s="787"/>
      <c r="F5" s="787"/>
      <c r="G5" s="787"/>
      <c r="H5" s="788"/>
      <c r="I5" s="716" t="s">
        <v>299</v>
      </c>
      <c r="J5" s="776" t="s">
        <v>462</v>
      </c>
      <c r="K5" s="777"/>
      <c r="L5" s="777"/>
      <c r="M5" s="777"/>
      <c r="N5" s="777"/>
      <c r="O5" s="778"/>
      <c r="P5" s="716" t="s">
        <v>300</v>
      </c>
      <c r="Q5" s="716" t="s">
        <v>301</v>
      </c>
    </row>
    <row r="6" spans="1:17" s="359" customFormat="1" ht="18" customHeight="1">
      <c r="A6" s="779"/>
      <c r="B6" s="785"/>
      <c r="C6" s="716" t="s">
        <v>302</v>
      </c>
      <c r="D6" s="523"/>
      <c r="E6" s="776" t="s">
        <v>10</v>
      </c>
      <c r="F6" s="777"/>
      <c r="G6" s="777"/>
      <c r="H6" s="778"/>
      <c r="I6" s="785"/>
      <c r="J6" s="716" t="s">
        <v>303</v>
      </c>
      <c r="K6" s="776" t="s">
        <v>10</v>
      </c>
      <c r="L6" s="777"/>
      <c r="M6" s="777"/>
      <c r="N6" s="778"/>
      <c r="O6" s="716" t="s">
        <v>304</v>
      </c>
      <c r="P6" s="779"/>
      <c r="Q6" s="779"/>
    </row>
    <row r="7" spans="1:17" s="359" customFormat="1" ht="107.25" customHeight="1">
      <c r="A7" s="758"/>
      <c r="B7" s="717"/>
      <c r="C7" s="758"/>
      <c r="D7" s="287"/>
      <c r="E7" s="79" t="s">
        <v>305</v>
      </c>
      <c r="F7" s="79" t="s">
        <v>306</v>
      </c>
      <c r="G7" s="79" t="s">
        <v>307</v>
      </c>
      <c r="H7" s="79" t="s">
        <v>308</v>
      </c>
      <c r="I7" s="717"/>
      <c r="J7" s="758"/>
      <c r="K7" s="79" t="s">
        <v>305</v>
      </c>
      <c r="L7" s="79" t="s">
        <v>306</v>
      </c>
      <c r="M7" s="79" t="s">
        <v>307</v>
      </c>
      <c r="N7" s="79" t="s">
        <v>308</v>
      </c>
      <c r="O7" s="758"/>
      <c r="P7" s="758"/>
      <c r="Q7" s="758"/>
    </row>
    <row r="8" spans="1:17" s="359" customFormat="1" ht="33" customHeight="1">
      <c r="A8" s="360">
        <v>1</v>
      </c>
      <c r="B8" s="360">
        <v>2</v>
      </c>
      <c r="C8" s="360">
        <v>3</v>
      </c>
      <c r="D8" s="360"/>
      <c r="E8" s="360">
        <v>4</v>
      </c>
      <c r="F8" s="360">
        <v>5</v>
      </c>
      <c r="G8" s="360">
        <v>6</v>
      </c>
      <c r="H8" s="360">
        <v>7</v>
      </c>
      <c r="I8" s="360">
        <v>8</v>
      </c>
      <c r="J8" s="360">
        <v>9</v>
      </c>
      <c r="K8" s="360">
        <v>10</v>
      </c>
      <c r="L8" s="360">
        <v>11</v>
      </c>
      <c r="M8" s="360">
        <v>12</v>
      </c>
      <c r="N8" s="360">
        <v>13</v>
      </c>
      <c r="O8" s="360">
        <v>14</v>
      </c>
      <c r="P8" s="361" t="s">
        <v>309</v>
      </c>
      <c r="Q8" s="362">
        <v>16</v>
      </c>
    </row>
    <row r="9" spans="1:17" s="359" customFormat="1" ht="19.5" customHeight="1">
      <c r="A9" s="363">
        <v>1</v>
      </c>
      <c r="B9" s="364" t="s">
        <v>310</v>
      </c>
      <c r="C9" s="365">
        <f>SUM(E9:H9)</f>
        <v>5</v>
      </c>
      <c r="D9" s="365"/>
      <c r="E9" s="366">
        <v>1.5</v>
      </c>
      <c r="F9" s="366">
        <v>0</v>
      </c>
      <c r="G9" s="366">
        <v>2.5</v>
      </c>
      <c r="H9" s="366">
        <v>1</v>
      </c>
      <c r="I9" s="367">
        <v>666.54</v>
      </c>
      <c r="J9" s="366">
        <f>SUM(K9:N9)</f>
        <v>1.15</v>
      </c>
      <c r="K9" s="366">
        <v>0.25</v>
      </c>
      <c r="L9" s="366"/>
      <c r="M9" s="366">
        <v>0.4</v>
      </c>
      <c r="N9" s="366">
        <v>0.5</v>
      </c>
      <c r="O9" s="368">
        <v>210</v>
      </c>
      <c r="P9" s="369">
        <f aca="true" t="shared" si="0" ref="P9:P17">J9/C9*100</f>
        <v>23</v>
      </c>
      <c r="Q9" s="364"/>
    </row>
    <row r="10" spans="1:17" s="359" customFormat="1" ht="19.5" customHeight="1">
      <c r="A10" s="363">
        <v>2</v>
      </c>
      <c r="B10" s="364" t="s">
        <v>311</v>
      </c>
      <c r="C10" s="370">
        <f aca="true" t="shared" si="1" ref="C10:C15">SUM(E10:G10)</f>
        <v>5</v>
      </c>
      <c r="D10" s="370"/>
      <c r="E10" s="366">
        <v>3.83</v>
      </c>
      <c r="F10" s="366">
        <v>0.72</v>
      </c>
      <c r="G10" s="366">
        <v>0.45</v>
      </c>
      <c r="H10" s="366"/>
      <c r="I10" s="367">
        <v>793.46</v>
      </c>
      <c r="J10" s="366">
        <f aca="true" t="shared" si="2" ref="J10:J16">SUM(K10:N10)</f>
        <v>1.65</v>
      </c>
      <c r="K10" s="366">
        <v>1.5</v>
      </c>
      <c r="L10" s="366">
        <v>0.15</v>
      </c>
      <c r="M10" s="366"/>
      <c r="N10" s="366"/>
      <c r="O10" s="368">
        <v>252</v>
      </c>
      <c r="P10" s="369">
        <f t="shared" si="0"/>
        <v>32.99999999999999</v>
      </c>
      <c r="Q10" s="364"/>
    </row>
    <row r="11" spans="1:17" s="359" customFormat="1" ht="19.5" customHeight="1">
      <c r="A11" s="363">
        <v>3</v>
      </c>
      <c r="B11" s="364" t="s">
        <v>312</v>
      </c>
      <c r="C11" s="371">
        <f t="shared" si="1"/>
        <v>9</v>
      </c>
      <c r="D11" s="371"/>
      <c r="E11" s="366">
        <v>3.5</v>
      </c>
      <c r="F11" s="366">
        <v>5</v>
      </c>
      <c r="G11" s="366">
        <v>0.5</v>
      </c>
      <c r="H11" s="366"/>
      <c r="I11" s="367">
        <v>1220.1</v>
      </c>
      <c r="J11" s="366">
        <f t="shared" si="2"/>
        <v>3.5</v>
      </c>
      <c r="K11" s="366">
        <v>1</v>
      </c>
      <c r="L11" s="366">
        <v>2.1</v>
      </c>
      <c r="M11" s="366">
        <v>0.4</v>
      </c>
      <c r="N11" s="366"/>
      <c r="O11" s="368">
        <v>507</v>
      </c>
      <c r="P11" s="369">
        <f t="shared" si="0"/>
        <v>38.88888888888889</v>
      </c>
      <c r="Q11" s="364"/>
    </row>
    <row r="12" spans="1:17" s="359" customFormat="1" ht="19.5" customHeight="1">
      <c r="A12" s="363">
        <v>4</v>
      </c>
      <c r="B12" s="364" t="s">
        <v>313</v>
      </c>
      <c r="C12" s="370">
        <f t="shared" si="1"/>
        <v>5</v>
      </c>
      <c r="D12" s="370"/>
      <c r="E12" s="366"/>
      <c r="F12" s="366">
        <v>5</v>
      </c>
      <c r="G12" s="366"/>
      <c r="H12" s="366"/>
      <c r="I12" s="367">
        <v>558.6</v>
      </c>
      <c r="J12" s="366">
        <f t="shared" si="2"/>
        <v>0.5</v>
      </c>
      <c r="K12" s="366"/>
      <c r="L12" s="366">
        <v>0.5</v>
      </c>
      <c r="M12" s="366"/>
      <c r="N12" s="366"/>
      <c r="O12" s="368">
        <v>75</v>
      </c>
      <c r="P12" s="369">
        <f t="shared" si="0"/>
        <v>10</v>
      </c>
      <c r="Q12" s="364"/>
    </row>
    <row r="13" spans="1:17" s="359" customFormat="1" ht="19.5" customHeight="1">
      <c r="A13" s="363">
        <v>5</v>
      </c>
      <c r="B13" s="364" t="s">
        <v>314</v>
      </c>
      <c r="C13" s="370">
        <f t="shared" si="1"/>
        <v>7</v>
      </c>
      <c r="D13" s="370"/>
      <c r="E13" s="366">
        <v>0.3</v>
      </c>
      <c r="F13" s="366">
        <v>6.25</v>
      </c>
      <c r="G13" s="366">
        <v>0.45</v>
      </c>
      <c r="H13" s="366"/>
      <c r="I13" s="367">
        <v>800.44</v>
      </c>
      <c r="J13" s="366">
        <f t="shared" si="2"/>
        <v>0.7</v>
      </c>
      <c r="K13" s="366"/>
      <c r="L13" s="366">
        <v>0.7</v>
      </c>
      <c r="M13" s="366"/>
      <c r="N13" s="366"/>
      <c r="O13" s="368">
        <v>110</v>
      </c>
      <c r="P13" s="369">
        <f t="shared" si="0"/>
        <v>10</v>
      </c>
      <c r="Q13" s="364"/>
    </row>
    <row r="14" spans="1:17" s="359" customFormat="1" ht="19.5" customHeight="1">
      <c r="A14" s="363">
        <v>6</v>
      </c>
      <c r="B14" s="364" t="s">
        <v>315</v>
      </c>
      <c r="C14" s="370">
        <f t="shared" si="1"/>
        <v>5</v>
      </c>
      <c r="D14" s="524"/>
      <c r="E14" s="372">
        <v>1.95</v>
      </c>
      <c r="F14" s="373">
        <v>1.41</v>
      </c>
      <c r="G14" s="373">
        <v>1.64</v>
      </c>
      <c r="H14" s="366"/>
      <c r="I14" s="367">
        <v>678.17</v>
      </c>
      <c r="J14" s="366">
        <f t="shared" si="2"/>
        <v>0.59</v>
      </c>
      <c r="K14" s="366">
        <v>0.12</v>
      </c>
      <c r="L14" s="366">
        <v>0.11</v>
      </c>
      <c r="M14" s="366">
        <v>0.36</v>
      </c>
      <c r="N14" s="366"/>
      <c r="O14" s="368">
        <v>116</v>
      </c>
      <c r="P14" s="369">
        <f t="shared" si="0"/>
        <v>11.799999999999999</v>
      </c>
      <c r="Q14" s="364"/>
    </row>
    <row r="15" spans="1:17" s="359" customFormat="1" ht="19.5" customHeight="1">
      <c r="A15" s="363">
        <v>7</v>
      </c>
      <c r="B15" s="364" t="s">
        <v>316</v>
      </c>
      <c r="C15" s="365">
        <f t="shared" si="1"/>
        <v>6</v>
      </c>
      <c r="D15" s="365"/>
      <c r="E15" s="374">
        <v>1.374</v>
      </c>
      <c r="F15" s="374">
        <v>0.87</v>
      </c>
      <c r="G15" s="374">
        <v>3.756</v>
      </c>
      <c r="H15" s="366"/>
      <c r="I15" s="367">
        <v>754.57</v>
      </c>
      <c r="J15" s="366">
        <f t="shared" si="2"/>
        <v>4.4</v>
      </c>
      <c r="K15" s="366">
        <v>0.4</v>
      </c>
      <c r="L15" s="375">
        <v>0.5</v>
      </c>
      <c r="M15" s="366">
        <v>3.5</v>
      </c>
      <c r="N15" s="366"/>
      <c r="O15" s="368">
        <v>567</v>
      </c>
      <c r="P15" s="369">
        <f t="shared" si="0"/>
        <v>73.33333333333334</v>
      </c>
      <c r="Q15" s="364"/>
    </row>
    <row r="16" spans="1:17" s="359" customFormat="1" ht="19.5" customHeight="1">
      <c r="A16" s="363">
        <v>8</v>
      </c>
      <c r="B16" s="364" t="s">
        <v>317</v>
      </c>
      <c r="C16" s="365">
        <f>SUM(E16:G16)</f>
        <v>6</v>
      </c>
      <c r="D16" s="365"/>
      <c r="E16" s="366">
        <v>1.15</v>
      </c>
      <c r="F16" s="366">
        <v>0.97</v>
      </c>
      <c r="G16" s="366">
        <v>3.88</v>
      </c>
      <c r="H16" s="366"/>
      <c r="I16" s="367">
        <v>740.84</v>
      </c>
      <c r="J16" s="366">
        <f t="shared" si="2"/>
        <v>2.92</v>
      </c>
      <c r="K16" s="366">
        <v>0.45</v>
      </c>
      <c r="L16" s="366">
        <v>0.97</v>
      </c>
      <c r="M16" s="366">
        <v>1.5</v>
      </c>
      <c r="N16" s="366"/>
      <c r="O16" s="368">
        <v>400</v>
      </c>
      <c r="P16" s="369">
        <f t="shared" si="0"/>
        <v>48.666666666666664</v>
      </c>
      <c r="Q16" s="364"/>
    </row>
    <row r="17" spans="1:17" s="359" customFormat="1" ht="19.5" customHeight="1">
      <c r="A17" s="780" t="s">
        <v>38</v>
      </c>
      <c r="B17" s="781"/>
      <c r="C17" s="376">
        <f aca="true" t="shared" si="3" ref="C17:O17">SUM(C9:C16)</f>
        <v>48</v>
      </c>
      <c r="D17" s="376"/>
      <c r="E17" s="377">
        <f t="shared" si="3"/>
        <v>13.604000000000001</v>
      </c>
      <c r="F17" s="377">
        <f t="shared" si="3"/>
        <v>20.22</v>
      </c>
      <c r="G17" s="377">
        <f t="shared" si="3"/>
        <v>13.175999999999998</v>
      </c>
      <c r="H17" s="377">
        <f t="shared" si="3"/>
        <v>1</v>
      </c>
      <c r="I17" s="378">
        <f t="shared" si="3"/>
        <v>6212.719999999999</v>
      </c>
      <c r="J17" s="377">
        <f t="shared" si="3"/>
        <v>15.41</v>
      </c>
      <c r="K17" s="377">
        <f t="shared" si="3"/>
        <v>3.72</v>
      </c>
      <c r="L17" s="377">
        <f t="shared" si="3"/>
        <v>5.03</v>
      </c>
      <c r="M17" s="377">
        <f t="shared" si="3"/>
        <v>6.16</v>
      </c>
      <c r="N17" s="377">
        <f t="shared" si="3"/>
        <v>0.5</v>
      </c>
      <c r="O17" s="379">
        <f t="shared" si="3"/>
        <v>2237</v>
      </c>
      <c r="P17" s="380">
        <f t="shared" si="0"/>
        <v>32.104166666666664</v>
      </c>
      <c r="Q17" s="381"/>
    </row>
    <row r="18" spans="1:17" s="359" customFormat="1" ht="18.75">
      <c r="A18" s="382"/>
      <c r="B18" s="383"/>
      <c r="C18" s="383"/>
      <c r="D18" s="383"/>
      <c r="E18" s="383"/>
      <c r="F18" s="383"/>
      <c r="G18" s="383"/>
      <c r="H18" s="383"/>
      <c r="I18" s="383"/>
      <c r="J18" s="775"/>
      <c r="K18" s="775"/>
      <c r="L18" s="775"/>
      <c r="M18" s="775"/>
      <c r="N18" s="775"/>
      <c r="O18" s="775"/>
      <c r="P18" s="775"/>
      <c r="Q18" s="775"/>
    </row>
    <row r="19" spans="10:17" s="359" customFormat="1" ht="18.75">
      <c r="J19" s="384"/>
      <c r="K19" s="385"/>
      <c r="L19" s="385"/>
      <c r="M19" s="385"/>
      <c r="N19" s="385"/>
      <c r="O19" s="385"/>
      <c r="P19" s="385"/>
      <c r="Q19" s="385"/>
    </row>
    <row r="20" spans="10:17" s="359" customFormat="1" ht="18.75">
      <c r="J20" s="386"/>
      <c r="K20" s="386"/>
      <c r="L20" s="386"/>
      <c r="M20" s="386"/>
      <c r="N20" s="386"/>
      <c r="O20" s="386"/>
      <c r="P20" s="386"/>
      <c r="Q20" s="386"/>
    </row>
    <row r="21" spans="10:17" s="359" customFormat="1" ht="18.75">
      <c r="J21" s="386"/>
      <c r="K21" s="386"/>
      <c r="L21" s="386"/>
      <c r="M21" s="386"/>
      <c r="N21" s="386"/>
      <c r="O21" s="386"/>
      <c r="P21" s="386"/>
      <c r="Q21" s="386"/>
    </row>
    <row r="22" s="359" customFormat="1" ht="18.75"/>
    <row r="23" s="359" customFormat="1" ht="18.75"/>
    <row r="24" s="359" customFormat="1" ht="18.75"/>
    <row r="25" spans="10:17" s="359" customFormat="1" ht="18.75">
      <c r="J25" s="720"/>
      <c r="K25" s="720"/>
      <c r="L25" s="720"/>
      <c r="M25" s="720"/>
      <c r="N25" s="720"/>
      <c r="O25" s="720"/>
      <c r="P25" s="720"/>
      <c r="Q25" s="720"/>
    </row>
    <row r="26" s="359" customFormat="1" ht="18.75"/>
    <row r="27" s="359" customFormat="1" ht="18.75"/>
    <row r="28" s="359" customFormat="1" ht="18.75"/>
    <row r="29" s="359" customFormat="1" ht="18.75"/>
    <row r="30" s="359" customFormat="1" ht="18.75"/>
    <row r="31" s="359" customFormat="1" ht="18.75"/>
    <row r="32" s="359" customFormat="1" ht="18.75"/>
    <row r="33" s="359" customFormat="1" ht="18.75"/>
    <row r="34" s="359" customFormat="1" ht="18.75"/>
    <row r="35" s="359" customFormat="1" ht="18.75"/>
    <row r="36" s="359" customFormat="1" ht="18.75"/>
    <row r="37" s="359" customFormat="1" ht="18.75"/>
    <row r="38" s="359" customFormat="1" ht="18.75"/>
    <row r="39" s="359" customFormat="1" ht="18.75"/>
    <row r="40" s="359" customFormat="1" ht="18.75"/>
    <row r="41" s="359" customFormat="1" ht="18.75"/>
    <row r="42" s="359" customFormat="1" ht="18.75"/>
    <row r="43" s="359" customFormat="1" ht="18.75"/>
    <row r="44" s="359" customFormat="1" ht="18.75"/>
    <row r="45" s="359" customFormat="1" ht="18.75"/>
    <row r="46" s="359" customFormat="1" ht="18.75"/>
  </sheetData>
  <sheetProtection/>
  <mergeCells count="18"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  <mergeCell ref="J18:Q18"/>
    <mergeCell ref="J25:Q25"/>
    <mergeCell ref="C6:C7"/>
    <mergeCell ref="E6:H6"/>
    <mergeCell ref="J6:J7"/>
    <mergeCell ref="K6:N6"/>
    <mergeCell ref="O6:O7"/>
    <mergeCell ref="Q5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2014-06-20T01:00:52Z</cp:lastPrinted>
  <dcterms:created xsi:type="dcterms:W3CDTF">2014-04-24T10:08:07Z</dcterms:created>
  <dcterms:modified xsi:type="dcterms:W3CDTF">2014-06-22T15:24:15Z</dcterms:modified>
  <cp:category/>
  <cp:version/>
  <cp:contentType/>
  <cp:contentStatus/>
</cp:coreProperties>
</file>