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yPC\Desktop\28.12.2016 BC tong ket 2016 anh le son sua\"/>
    </mc:Choice>
  </mc:AlternateContent>
  <bookViews>
    <workbookView xWindow="0" yWindow="0" windowWidth="19200" windowHeight="7050" tabRatio="933" activeTab="6"/>
  </bookViews>
  <sheets>
    <sheet name="b1 MH" sheetId="93" r:id="rId1"/>
    <sheet name="b2 tht" sheetId="76" r:id="rId2"/>
    <sheet name="B3 htx" sheetId="77" r:id="rId3"/>
    <sheet name="b4 dn" sheetId="78" r:id="rId4"/>
    <sheet name="B5 gtnt" sheetId="95" r:id="rId5"/>
    <sheet name="b6 kmnd" sheetId="94" r:id="rId6"/>
    <sheet name="B 7 tc tong hop" sheetId="96" r:id="rId7"/>
    <sheet name="7.1 TC chi tiet" sheetId="97" r:id="rId8"/>
    <sheet name="7.2 xa duoi 9 tc" sheetId="98" r:id="rId9"/>
    <sheet name="Sheet3" sheetId="90" state="hidden" r:id="rId10"/>
    <sheet name="Sheet1" sheetId="88" state="hidden" r:id="rId11"/>
    <sheet name="Sheet2" sheetId="89" state="hidden" r:id="rId12"/>
    <sheet name="B10. Giai ngan" sheetId="55" state="hidden" r:id="rId13"/>
  </sheets>
  <externalReferences>
    <externalReference r:id="rId14"/>
    <externalReference r:id="rId15"/>
    <externalReference r:id="rId16"/>
  </externalReferences>
  <definedNames>
    <definedName name="_xlnm.Print_Titles" localSheetId="7">'7.1 TC chi tiet'!$2:$4</definedName>
    <definedName name="_xlnm.Print_Titles" localSheetId="8">'7.2 xa duoi 9 tc'!$2:$4</definedName>
  </definedNames>
  <calcPr calcId="162913"/>
</workbook>
</file>

<file path=xl/calcChain.xml><?xml version="1.0" encoding="utf-8"?>
<calcChain xmlns="http://schemas.openxmlformats.org/spreadsheetml/2006/main">
  <c r="O19" i="93" l="1"/>
  <c r="N19" i="93"/>
  <c r="M19" i="93"/>
  <c r="L19" i="93"/>
  <c r="H19" i="93"/>
  <c r="G19" i="93"/>
  <c r="F19" i="93"/>
  <c r="E19" i="93" s="1"/>
  <c r="D19" i="93"/>
  <c r="C19" i="93"/>
  <c r="K18" i="93"/>
  <c r="E18" i="93"/>
  <c r="P18" i="93" s="1"/>
  <c r="K17" i="93"/>
  <c r="E17" i="93"/>
  <c r="P17" i="93" s="1"/>
  <c r="K16" i="93"/>
  <c r="E16" i="93"/>
  <c r="P16" i="93" s="1"/>
  <c r="K15" i="93"/>
  <c r="E15" i="93"/>
  <c r="P15" i="93" s="1"/>
  <c r="K14" i="93"/>
  <c r="E14" i="93"/>
  <c r="P14" i="93" s="1"/>
  <c r="K13" i="93"/>
  <c r="E13" i="93"/>
  <c r="P13" i="93" s="1"/>
  <c r="K12" i="93"/>
  <c r="E12" i="93"/>
  <c r="P12" i="93" s="1"/>
  <c r="K11" i="93"/>
  <c r="E11" i="93"/>
  <c r="P11" i="93" s="1"/>
  <c r="K10" i="93"/>
  <c r="E10" i="93"/>
  <c r="P10" i="93" s="1"/>
  <c r="K9" i="93"/>
  <c r="E9" i="93"/>
  <c r="P9" i="93" s="1"/>
  <c r="K8" i="93"/>
  <c r="E8" i="93"/>
  <c r="P8" i="93" s="1"/>
  <c r="K7" i="93"/>
  <c r="E7" i="93"/>
  <c r="P7" i="93" s="1"/>
  <c r="K6" i="93"/>
  <c r="E6" i="93"/>
  <c r="P6" i="93" s="1"/>
  <c r="K19" i="93" l="1"/>
  <c r="P19" i="93"/>
  <c r="I19" i="93"/>
  <c r="C17" i="78"/>
  <c r="C5" i="78"/>
  <c r="C6" i="78"/>
  <c r="C7" i="78"/>
  <c r="C8" i="78"/>
  <c r="C9" i="78"/>
  <c r="C10" i="78"/>
  <c r="C11" i="78"/>
  <c r="C12" i="78"/>
  <c r="C13" i="78"/>
  <c r="C14" i="78"/>
  <c r="C15" i="78"/>
  <c r="C16" i="78"/>
  <c r="C4" i="78"/>
  <c r="C17" i="77"/>
  <c r="C5" i="77"/>
  <c r="C6" i="77"/>
  <c r="C7" i="77"/>
  <c r="C8" i="77"/>
  <c r="C9" i="77"/>
  <c r="C10" i="77"/>
  <c r="C11" i="77"/>
  <c r="C12" i="77"/>
  <c r="C13" i="77"/>
  <c r="C14" i="77"/>
  <c r="C15" i="77"/>
  <c r="C16" i="77"/>
  <c r="C4" i="77"/>
  <c r="C5" i="76"/>
  <c r="C6" i="76"/>
  <c r="C7" i="76"/>
  <c r="C8" i="76"/>
  <c r="C9" i="76"/>
  <c r="C10" i="76"/>
  <c r="C11" i="76"/>
  <c r="C12" i="76"/>
  <c r="C13" i="76"/>
  <c r="C14" i="76"/>
  <c r="C15" i="76"/>
  <c r="C16" i="76"/>
  <c r="K17" i="78"/>
  <c r="K17" i="77"/>
  <c r="K17" i="76" l="1"/>
  <c r="V27" i="98"/>
  <c r="U26" i="98"/>
  <c r="T26" i="98"/>
  <c r="S26" i="98"/>
  <c r="R26" i="98"/>
  <c r="Q26" i="98"/>
  <c r="P26" i="98"/>
  <c r="O26" i="98"/>
  <c r="N26" i="98"/>
  <c r="M26" i="98"/>
  <c r="L26" i="98"/>
  <c r="K26" i="98"/>
  <c r="J26" i="98"/>
  <c r="I26" i="98"/>
  <c r="H26" i="98"/>
  <c r="G26" i="98"/>
  <c r="F26" i="98"/>
  <c r="E26" i="98"/>
  <c r="D26" i="98"/>
  <c r="C26" i="98"/>
  <c r="V25" i="98"/>
  <c r="V24" i="98"/>
  <c r="U23" i="98"/>
  <c r="T23" i="98"/>
  <c r="S23" i="98"/>
  <c r="R23" i="98"/>
  <c r="Q23" i="98"/>
  <c r="P23" i="98"/>
  <c r="O23" i="98"/>
  <c r="N23" i="98"/>
  <c r="M23" i="98"/>
  <c r="L23" i="98"/>
  <c r="K23" i="98"/>
  <c r="J23" i="98"/>
  <c r="I23" i="98"/>
  <c r="H23" i="98"/>
  <c r="G23" i="98"/>
  <c r="F23" i="98"/>
  <c r="E23" i="98"/>
  <c r="D23" i="98"/>
  <c r="C23" i="98"/>
  <c r="V22" i="98"/>
  <c r="V21" i="98"/>
  <c r="U20" i="98"/>
  <c r="T20" i="98"/>
  <c r="S20" i="98"/>
  <c r="R20" i="98"/>
  <c r="Q20" i="98"/>
  <c r="P20" i="98"/>
  <c r="O20" i="98"/>
  <c r="N20" i="98"/>
  <c r="M20" i="98"/>
  <c r="L20" i="98"/>
  <c r="K20" i="98"/>
  <c r="J20" i="98"/>
  <c r="I20" i="98"/>
  <c r="H20" i="98"/>
  <c r="G20" i="98"/>
  <c r="F20" i="98"/>
  <c r="E20" i="98"/>
  <c r="D20" i="98"/>
  <c r="C20" i="98"/>
  <c r="V19" i="98"/>
  <c r="V18" i="98"/>
  <c r="V17" i="98"/>
  <c r="U16" i="98"/>
  <c r="T16" i="98"/>
  <c r="S16" i="98"/>
  <c r="R16" i="98"/>
  <c r="Q16" i="98"/>
  <c r="P16" i="98"/>
  <c r="O16" i="98"/>
  <c r="N16" i="98"/>
  <c r="M16" i="98"/>
  <c r="L16" i="98"/>
  <c r="K16" i="98"/>
  <c r="J16" i="98"/>
  <c r="I16" i="98"/>
  <c r="H16" i="98"/>
  <c r="G16" i="98"/>
  <c r="F16" i="98"/>
  <c r="E16" i="98"/>
  <c r="D16" i="98"/>
  <c r="C16" i="98"/>
  <c r="V15" i="98"/>
  <c r="V14" i="98"/>
  <c r="V13" i="98"/>
  <c r="V12" i="98"/>
  <c r="U11" i="98"/>
  <c r="T11" i="98"/>
  <c r="S11" i="98"/>
  <c r="R11" i="98"/>
  <c r="Q11" i="98"/>
  <c r="P11" i="98"/>
  <c r="O11" i="98"/>
  <c r="N11" i="98"/>
  <c r="M11" i="98"/>
  <c r="L11" i="98"/>
  <c r="K11" i="98"/>
  <c r="J11" i="98"/>
  <c r="I11" i="98"/>
  <c r="H11" i="98"/>
  <c r="G11" i="98"/>
  <c r="F11" i="98"/>
  <c r="E11" i="98"/>
  <c r="D11" i="98"/>
  <c r="C11" i="98"/>
  <c r="V10" i="98"/>
  <c r="V9" i="98"/>
  <c r="V8" i="98"/>
  <c r="V7" i="98"/>
  <c r="V6" i="98"/>
  <c r="U5" i="98"/>
  <c r="T5" i="98"/>
  <c r="S5" i="98"/>
  <c r="R5" i="98"/>
  <c r="Q5" i="98"/>
  <c r="P5" i="98"/>
  <c r="O5" i="98"/>
  <c r="N5" i="98"/>
  <c r="M5" i="98"/>
  <c r="L5" i="98"/>
  <c r="K5" i="98"/>
  <c r="J5" i="98"/>
  <c r="I5" i="98"/>
  <c r="H5" i="98"/>
  <c r="G5" i="98"/>
  <c r="F5" i="98"/>
  <c r="E5" i="98"/>
  <c r="D5" i="98"/>
  <c r="C5" i="98"/>
  <c r="V246" i="97"/>
  <c r="V245" i="97"/>
  <c r="V244" i="97"/>
  <c r="V243" i="97"/>
  <c r="V242" i="97"/>
  <c r="V241" i="97"/>
  <c r="V240" i="97"/>
  <c r="V239" i="97"/>
  <c r="V238" i="97"/>
  <c r="V237" i="97"/>
  <c r="V236" i="97"/>
  <c r="V235" i="97"/>
  <c r="V234" i="97"/>
  <c r="V233" i="97"/>
  <c r="V232" i="97"/>
  <c r="V231" i="97"/>
  <c r="V230" i="97"/>
  <c r="V229" i="97"/>
  <c r="V228" i="97"/>
  <c r="V227" i="97"/>
  <c r="V226" i="97"/>
  <c r="V225" i="97"/>
  <c r="U224" i="97"/>
  <c r="T224" i="97"/>
  <c r="S224" i="97"/>
  <c r="R224" i="97"/>
  <c r="Q224" i="97"/>
  <c r="P224" i="97"/>
  <c r="O224" i="97"/>
  <c r="N224" i="97"/>
  <c r="M224" i="97"/>
  <c r="L224" i="97"/>
  <c r="K224" i="97"/>
  <c r="J224" i="97"/>
  <c r="I224" i="97"/>
  <c r="H224" i="97"/>
  <c r="G224" i="97"/>
  <c r="F224" i="97"/>
  <c r="E224" i="97"/>
  <c r="D224" i="97"/>
  <c r="C224" i="97"/>
  <c r="V223" i="97"/>
  <c r="V222" i="97"/>
  <c r="V221" i="97"/>
  <c r="V220" i="97"/>
  <c r="V219" i="97"/>
  <c r="V218" i="97"/>
  <c r="V217" i="97"/>
  <c r="V216" i="97"/>
  <c r="V215" i="97"/>
  <c r="V214" i="97"/>
  <c r="V213" i="97"/>
  <c r="V212" i="97"/>
  <c r="V211" i="97"/>
  <c r="V210" i="97"/>
  <c r="V209" i="97"/>
  <c r="V208" i="97"/>
  <c r="V207" i="97"/>
  <c r="V206" i="97"/>
  <c r="V205" i="97"/>
  <c r="V204" i="97"/>
  <c r="V203" i="97"/>
  <c r="U202" i="97"/>
  <c r="T202" i="97"/>
  <c r="S202" i="97"/>
  <c r="R202" i="97"/>
  <c r="Q202" i="97"/>
  <c r="P202" i="97"/>
  <c r="O202" i="97"/>
  <c r="N202" i="97"/>
  <c r="M202" i="97"/>
  <c r="L202" i="97"/>
  <c r="K202" i="97"/>
  <c r="J202" i="97"/>
  <c r="I202" i="97"/>
  <c r="H202" i="97"/>
  <c r="G202" i="97"/>
  <c r="F202" i="97"/>
  <c r="E202" i="97"/>
  <c r="D202" i="97"/>
  <c r="C202" i="97"/>
  <c r="V201" i="97"/>
  <c r="V200" i="97"/>
  <c r="V199" i="97"/>
  <c r="V198" i="97"/>
  <c r="V197" i="97"/>
  <c r="V196" i="97"/>
  <c r="V195" i="97"/>
  <c r="V194" i="97"/>
  <c r="V193" i="97"/>
  <c r="V192" i="97"/>
  <c r="V191" i="97"/>
  <c r="V190" i="97"/>
  <c r="V189" i="97"/>
  <c r="V188" i="97"/>
  <c r="V187" i="97"/>
  <c r="V186" i="97"/>
  <c r="V185" i="97"/>
  <c r="U184" i="97"/>
  <c r="T184" i="97"/>
  <c r="S184" i="97"/>
  <c r="R184" i="97"/>
  <c r="Q184" i="97"/>
  <c r="P184" i="97"/>
  <c r="O184" i="97"/>
  <c r="N184" i="97"/>
  <c r="M184" i="97"/>
  <c r="L184" i="97"/>
  <c r="K184" i="97"/>
  <c r="J184" i="97"/>
  <c r="I184" i="97"/>
  <c r="H184" i="97"/>
  <c r="G184" i="97"/>
  <c r="F184" i="97"/>
  <c r="E184" i="97"/>
  <c r="D184" i="97"/>
  <c r="C184" i="97"/>
  <c r="V183" i="97"/>
  <c r="V182" i="97"/>
  <c r="V181" i="97"/>
  <c r="V180" i="97"/>
  <c r="V179" i="97"/>
  <c r="V178" i="97"/>
  <c r="V177" i="97"/>
  <c r="V176" i="97"/>
  <c r="V175" i="97"/>
  <c r="V174" i="97"/>
  <c r="V173" i="97"/>
  <c r="V172" i="97"/>
  <c r="V171" i="97"/>
  <c r="V170" i="97"/>
  <c r="V169" i="97"/>
  <c r="V168" i="97"/>
  <c r="V167" i="97"/>
  <c r="V166" i="97"/>
  <c r="V165" i="97"/>
  <c r="V164" i="97"/>
  <c r="V163" i="97"/>
  <c r="V162" i="97"/>
  <c r="V161" i="97"/>
  <c r="V160" i="97"/>
  <c r="V159" i="97"/>
  <c r="V158" i="97"/>
  <c r="V157" i="97"/>
  <c r="U156" i="97"/>
  <c r="T156" i="97"/>
  <c r="S156" i="97"/>
  <c r="R156" i="97"/>
  <c r="Q156" i="97"/>
  <c r="P156" i="97"/>
  <c r="O156" i="97"/>
  <c r="N156" i="97"/>
  <c r="M156" i="97"/>
  <c r="L156" i="97"/>
  <c r="K156" i="97"/>
  <c r="J156" i="97"/>
  <c r="I156" i="97"/>
  <c r="H156" i="97"/>
  <c r="G156" i="97"/>
  <c r="F156" i="97"/>
  <c r="E156" i="97"/>
  <c r="D156" i="97"/>
  <c r="C156" i="97"/>
  <c r="V155" i="97"/>
  <c r="V153" i="97"/>
  <c r="V152" i="97"/>
  <c r="V151" i="97"/>
  <c r="V150" i="97"/>
  <c r="V149" i="97"/>
  <c r="V148" i="97"/>
  <c r="U147" i="97"/>
  <c r="T147" i="97"/>
  <c r="S147" i="97"/>
  <c r="R147" i="97"/>
  <c r="Q147" i="97"/>
  <c r="P147" i="97"/>
  <c r="O147" i="97"/>
  <c r="N147" i="97"/>
  <c r="M147" i="97"/>
  <c r="L147" i="97"/>
  <c r="K147" i="97"/>
  <c r="J147" i="97"/>
  <c r="I147" i="97"/>
  <c r="H147" i="97"/>
  <c r="G147" i="97"/>
  <c r="F147" i="97"/>
  <c r="E147" i="97"/>
  <c r="D147" i="97"/>
  <c r="C147" i="97"/>
  <c r="V146" i="97"/>
  <c r="V145" i="97"/>
  <c r="V144" i="97"/>
  <c r="V143" i="97"/>
  <c r="V142" i="97"/>
  <c r="V141" i="97"/>
  <c r="V140" i="97"/>
  <c r="V139" i="97"/>
  <c r="V138" i="97"/>
  <c r="V137" i="97"/>
  <c r="V136" i="97"/>
  <c r="V135" i="97"/>
  <c r="V134" i="97"/>
  <c r="V133" i="97"/>
  <c r="V132" i="97"/>
  <c r="V131" i="97"/>
  <c r="V130" i="97"/>
  <c r="V129" i="97"/>
  <c r="V128" i="97"/>
  <c r="V127" i="97"/>
  <c r="V126" i="97"/>
  <c r="V125" i="97"/>
  <c r="V124" i="97"/>
  <c r="V123" i="97"/>
  <c r="V122" i="97"/>
  <c r="V121" i="97"/>
  <c r="V120" i="97"/>
  <c r="V119" i="97"/>
  <c r="V118" i="97"/>
  <c r="V117" i="97"/>
  <c r="U116" i="97"/>
  <c r="T116" i="97"/>
  <c r="S116" i="97"/>
  <c r="R116" i="97"/>
  <c r="Q116" i="97"/>
  <c r="P116" i="97"/>
  <c r="O116" i="97"/>
  <c r="N116" i="97"/>
  <c r="M116" i="97"/>
  <c r="L116" i="97"/>
  <c r="K116" i="97"/>
  <c r="J116" i="97"/>
  <c r="I116" i="97"/>
  <c r="H116" i="97"/>
  <c r="G116" i="97"/>
  <c r="F116" i="97"/>
  <c r="E116" i="97"/>
  <c r="D116" i="97"/>
  <c r="C116" i="97"/>
  <c r="V115" i="97"/>
  <c r="V114" i="97"/>
  <c r="V113" i="97"/>
  <c r="V112" i="97"/>
  <c r="V111" i="97"/>
  <c r="V110" i="97"/>
  <c r="V109" i="97"/>
  <c r="V108" i="97"/>
  <c r="V107" i="97"/>
  <c r="V106" i="97"/>
  <c r="V105" i="97"/>
  <c r="V104" i="97"/>
  <c r="V103" i="97"/>
  <c r="U102" i="97"/>
  <c r="T102" i="97"/>
  <c r="S102" i="97"/>
  <c r="R102" i="97"/>
  <c r="Q102" i="97"/>
  <c r="P102" i="97"/>
  <c r="O102" i="97"/>
  <c r="N102" i="97"/>
  <c r="M102" i="97"/>
  <c r="L102" i="97"/>
  <c r="K102" i="97"/>
  <c r="J102" i="97"/>
  <c r="I102" i="97"/>
  <c r="H102" i="97"/>
  <c r="G102" i="97"/>
  <c r="F102" i="97"/>
  <c r="E102" i="97"/>
  <c r="D102" i="97"/>
  <c r="C102" i="97"/>
  <c r="V101" i="97"/>
  <c r="V100" i="97"/>
  <c r="V99" i="97"/>
  <c r="V98" i="97"/>
  <c r="V97" i="97"/>
  <c r="U96" i="97"/>
  <c r="T96" i="97"/>
  <c r="S96" i="97"/>
  <c r="R96" i="97"/>
  <c r="Q96" i="97"/>
  <c r="P96" i="97"/>
  <c r="O96" i="97"/>
  <c r="N96" i="97"/>
  <c r="M96" i="97"/>
  <c r="L96" i="97"/>
  <c r="K96" i="97"/>
  <c r="J96" i="97"/>
  <c r="I96" i="97"/>
  <c r="H96" i="97"/>
  <c r="G96" i="97"/>
  <c r="F96" i="97"/>
  <c r="E96" i="97"/>
  <c r="D96" i="97"/>
  <c r="C96" i="97"/>
  <c r="V95" i="97"/>
  <c r="V94" i="97"/>
  <c r="V93" i="97"/>
  <c r="V92" i="97"/>
  <c r="V91" i="97"/>
  <c r="V90" i="97"/>
  <c r="V89" i="97"/>
  <c r="V88" i="97"/>
  <c r="V87" i="97"/>
  <c r="V86" i="97"/>
  <c r="V85" i="97"/>
  <c r="V84" i="97"/>
  <c r="V83" i="97"/>
  <c r="V82" i="97"/>
  <c r="V81" i="97"/>
  <c r="V80" i="97"/>
  <c r="V79" i="97"/>
  <c r="V78" i="97"/>
  <c r="V77" i="97"/>
  <c r="V76" i="97"/>
  <c r="V75" i="97"/>
  <c r="U74" i="97"/>
  <c r="T74" i="97"/>
  <c r="S74" i="97"/>
  <c r="R74" i="97"/>
  <c r="Q74" i="97"/>
  <c r="P74" i="97"/>
  <c r="O74" i="97"/>
  <c r="N74" i="97"/>
  <c r="M74" i="97"/>
  <c r="L74" i="97"/>
  <c r="K74" i="97"/>
  <c r="J74" i="97"/>
  <c r="I74" i="97"/>
  <c r="H74" i="97"/>
  <c r="G74" i="97"/>
  <c r="F74" i="97"/>
  <c r="E74" i="97"/>
  <c r="D74" i="97"/>
  <c r="C74" i="97"/>
  <c r="V73" i="97"/>
  <c r="V72" i="97"/>
  <c r="V71" i="97"/>
  <c r="V70" i="97"/>
  <c r="V69" i="97"/>
  <c r="V68" i="97"/>
  <c r="V67" i="97"/>
  <c r="V66" i="97"/>
  <c r="V65" i="97"/>
  <c r="V64" i="97"/>
  <c r="V63" i="97"/>
  <c r="V62" i="97"/>
  <c r="V61" i="97"/>
  <c r="V60" i="97"/>
  <c r="V59" i="97"/>
  <c r="V58" i="97"/>
  <c r="V57" i="97"/>
  <c r="V56" i="97"/>
  <c r="V55" i="97"/>
  <c r="V54" i="97"/>
  <c r="V53" i="97"/>
  <c r="V52" i="97"/>
  <c r="V51" i="97"/>
  <c r="V50" i="97"/>
  <c r="V49" i="97"/>
  <c r="U48" i="97"/>
  <c r="T48" i="97"/>
  <c r="S48" i="97"/>
  <c r="R48" i="97"/>
  <c r="Q48" i="97"/>
  <c r="P48" i="97"/>
  <c r="O48" i="97"/>
  <c r="N48" i="97"/>
  <c r="M48" i="97"/>
  <c r="L48" i="97"/>
  <c r="K48" i="97"/>
  <c r="J48" i="97"/>
  <c r="I48" i="97"/>
  <c r="H48" i="97"/>
  <c r="G48" i="97"/>
  <c r="E48" i="97"/>
  <c r="D48" i="97"/>
  <c r="C48" i="97"/>
  <c r="V47" i="97"/>
  <c r="V46" i="97"/>
  <c r="V45" i="97"/>
  <c r="V44" i="97"/>
  <c r="V43" i="97"/>
  <c r="V42" i="97"/>
  <c r="V41" i="97"/>
  <c r="V40" i="97"/>
  <c r="V39" i="97"/>
  <c r="V38" i="97"/>
  <c r="V37" i="97"/>
  <c r="U36" i="97"/>
  <c r="T36" i="97"/>
  <c r="S36" i="97"/>
  <c r="R36" i="97"/>
  <c r="Q36" i="97"/>
  <c r="P36" i="97"/>
  <c r="O36" i="97"/>
  <c r="N36" i="97"/>
  <c r="M36" i="97"/>
  <c r="L36" i="97"/>
  <c r="K36" i="97"/>
  <c r="J36" i="97"/>
  <c r="I36" i="97"/>
  <c r="H36" i="97"/>
  <c r="G36" i="97"/>
  <c r="F36" i="97"/>
  <c r="E36" i="97"/>
  <c r="D36" i="97"/>
  <c r="C36" i="97"/>
  <c r="V35" i="97"/>
  <c r="V34" i="97"/>
  <c r="V33" i="97"/>
  <c r="V32" i="97"/>
  <c r="V31" i="97"/>
  <c r="V30" i="97"/>
  <c r="V29" i="97"/>
  <c r="V28" i="97"/>
  <c r="V27" i="97"/>
  <c r="V26" i="97"/>
  <c r="V25" i="97"/>
  <c r="V24" i="97"/>
  <c r="V23" i="97"/>
  <c r="V22" i="97"/>
  <c r="V21" i="97"/>
  <c r="V20" i="97"/>
  <c r="V19" i="97"/>
  <c r="V18" i="97"/>
  <c r="V17" i="97"/>
  <c r="V16" i="97"/>
  <c r="V15" i="97"/>
  <c r="V14" i="97"/>
  <c r="V13" i="97"/>
  <c r="V12" i="97"/>
  <c r="V11" i="97"/>
  <c r="V10" i="97"/>
  <c r="V9" i="97"/>
  <c r="V8" i="97"/>
  <c r="V7" i="97"/>
  <c r="V6" i="97"/>
  <c r="V247" i="97"/>
  <c r="U5" i="97"/>
  <c r="U247" i="97"/>
  <c r="T5" i="97"/>
  <c r="T247" i="97"/>
  <c r="S5" i="97"/>
  <c r="S247" i="97"/>
  <c r="R5" i="97"/>
  <c r="R247" i="97"/>
  <c r="Q5" i="97"/>
  <c r="Q247" i="97"/>
  <c r="P5" i="97"/>
  <c r="P247" i="97"/>
  <c r="O5" i="97"/>
  <c r="O247" i="97"/>
  <c r="N5" i="97"/>
  <c r="N247" i="97"/>
  <c r="M5" i="97"/>
  <c r="M247" i="97"/>
  <c r="L5" i="97"/>
  <c r="L247" i="97"/>
  <c r="K5" i="97"/>
  <c r="K247" i="97"/>
  <c r="J5" i="97"/>
  <c r="J247" i="97"/>
  <c r="I5" i="97"/>
  <c r="I247" i="97"/>
  <c r="H5" i="97"/>
  <c r="H247" i="97"/>
  <c r="G5" i="97"/>
  <c r="G247" i="97"/>
  <c r="F5" i="97"/>
  <c r="F247" i="97"/>
  <c r="E5" i="97"/>
  <c r="E247" i="97"/>
  <c r="D5" i="97"/>
  <c r="D247" i="97"/>
  <c r="C5" i="97"/>
  <c r="C247" i="97"/>
  <c r="L19" i="96"/>
  <c r="J19" i="96"/>
  <c r="H19" i="96"/>
  <c r="F19" i="96"/>
  <c r="D19" i="96"/>
  <c r="K18" i="96"/>
  <c r="I18" i="96"/>
  <c r="E18" i="96"/>
  <c r="I17" i="96"/>
  <c r="C17" i="96"/>
  <c r="E17" i="96"/>
  <c r="I16" i="96"/>
  <c r="E16" i="96"/>
  <c r="C16" i="96"/>
  <c r="G16" i="96"/>
  <c r="K15" i="96"/>
  <c r="C15" i="96"/>
  <c r="I15" i="96"/>
  <c r="K14" i="96"/>
  <c r="E14" i="96"/>
  <c r="C14" i="96"/>
  <c r="I14" i="96"/>
  <c r="K13" i="96"/>
  <c r="E13" i="96"/>
  <c r="C13" i="96"/>
  <c r="I13" i="96"/>
  <c r="C12" i="96"/>
  <c r="I12" i="96"/>
  <c r="C11" i="96"/>
  <c r="K11" i="96"/>
  <c r="C10" i="96"/>
  <c r="K10" i="96"/>
  <c r="C9" i="96"/>
  <c r="K9" i="96"/>
  <c r="C8" i="96"/>
  <c r="K8" i="96"/>
  <c r="C7" i="96"/>
  <c r="K7" i="96"/>
  <c r="C6" i="96"/>
  <c r="K6" i="96"/>
  <c r="V491" i="95"/>
  <c r="AT466" i="95"/>
  <c r="AS466" i="95"/>
  <c r="AP466" i="95"/>
  <c r="AO466" i="95"/>
  <c r="AN466" i="95"/>
  <c r="AM466" i="95"/>
  <c r="AL466" i="95"/>
  <c r="AK466" i="95"/>
  <c r="AJ466" i="95"/>
  <c r="AI466" i="95"/>
  <c r="AH466" i="95"/>
  <c r="AG466" i="95"/>
  <c r="AF466" i="95"/>
  <c r="AE466" i="95"/>
  <c r="AB466" i="95"/>
  <c r="AA466" i="95"/>
  <c r="Z466" i="95"/>
  <c r="Y466" i="95"/>
  <c r="X466" i="95"/>
  <c r="U466" i="95"/>
  <c r="T466" i="95"/>
  <c r="S466" i="95"/>
  <c r="R466" i="95"/>
  <c r="Q466" i="95"/>
  <c r="O466" i="95"/>
  <c r="N466" i="95"/>
  <c r="M466" i="95"/>
  <c r="L466" i="95"/>
  <c r="K466" i="95"/>
  <c r="H466" i="95"/>
  <c r="G466" i="95"/>
  <c r="F466" i="95"/>
  <c r="E466" i="95"/>
  <c r="D466" i="95"/>
  <c r="AJ465" i="95"/>
  <c r="AD465" i="95"/>
  <c r="AC465" i="95"/>
  <c r="W465" i="95"/>
  <c r="V465" i="95"/>
  <c r="P465" i="95"/>
  <c r="J465" i="95"/>
  <c r="I465" i="95"/>
  <c r="C465" i="95"/>
  <c r="AJ464" i="95"/>
  <c r="AD464" i="95"/>
  <c r="AC464" i="95"/>
  <c r="W464" i="95"/>
  <c r="V464" i="95"/>
  <c r="P464" i="95"/>
  <c r="J464" i="95"/>
  <c r="I464" i="95"/>
  <c r="AR464" i="95"/>
  <c r="C464" i="95"/>
  <c r="AJ463" i="95"/>
  <c r="AD463" i="95"/>
  <c r="AC463" i="95"/>
  <c r="W463" i="95"/>
  <c r="V463" i="95"/>
  <c r="P463" i="95"/>
  <c r="J463" i="95"/>
  <c r="I463" i="95"/>
  <c r="C463" i="95"/>
  <c r="AJ462" i="95"/>
  <c r="AD462" i="95"/>
  <c r="AC462" i="95"/>
  <c r="AR462" i="95"/>
  <c r="W462" i="95"/>
  <c r="AQ462" i="95"/>
  <c r="V462" i="95"/>
  <c r="P462" i="95"/>
  <c r="J462" i="95"/>
  <c r="I462" i="95"/>
  <c r="C462" i="95"/>
  <c r="AJ461" i="95"/>
  <c r="AD461" i="95"/>
  <c r="AC461" i="95"/>
  <c r="W461" i="95"/>
  <c r="AQ461" i="95"/>
  <c r="V461" i="95"/>
  <c r="P461" i="95"/>
  <c r="J461" i="95"/>
  <c r="I461" i="95"/>
  <c r="C461" i="95"/>
  <c r="AJ460" i="95"/>
  <c r="AD460" i="95"/>
  <c r="AC460" i="95"/>
  <c r="W460" i="95"/>
  <c r="AQ460" i="95"/>
  <c r="V460" i="95"/>
  <c r="P460" i="95"/>
  <c r="J460" i="95"/>
  <c r="I460" i="95"/>
  <c r="C460" i="95"/>
  <c r="AR458" i="95"/>
  <c r="AJ458" i="95"/>
  <c r="AD458" i="95"/>
  <c r="AC458" i="95"/>
  <c r="W458" i="95"/>
  <c r="AQ458" i="95"/>
  <c r="V458" i="95"/>
  <c r="P458" i="95"/>
  <c r="J458" i="95"/>
  <c r="I458" i="95"/>
  <c r="C458" i="95"/>
  <c r="AJ457" i="95"/>
  <c r="AD457" i="95"/>
  <c r="AC457" i="95"/>
  <c r="W457" i="95"/>
  <c r="V457" i="95"/>
  <c r="P457" i="95"/>
  <c r="J457" i="95"/>
  <c r="I457" i="95"/>
  <c r="C457" i="95"/>
  <c r="AJ456" i="95"/>
  <c r="AD456" i="95"/>
  <c r="AC456" i="95"/>
  <c r="W456" i="95"/>
  <c r="AQ456" i="95"/>
  <c r="V456" i="95"/>
  <c r="P456" i="95"/>
  <c r="J456" i="95"/>
  <c r="I456" i="95"/>
  <c r="C456" i="95"/>
  <c r="AJ455" i="95"/>
  <c r="AD455" i="95"/>
  <c r="AC455" i="95"/>
  <c r="AR455" i="95"/>
  <c r="W455" i="95"/>
  <c r="AQ455" i="95"/>
  <c r="V455" i="95"/>
  <c r="P455" i="95"/>
  <c r="J455" i="95"/>
  <c r="I455" i="95"/>
  <c r="C455" i="95"/>
  <c r="AJ454" i="95"/>
  <c r="AD454" i="95"/>
  <c r="AC454" i="95"/>
  <c r="W454" i="95"/>
  <c r="AQ454" i="95"/>
  <c r="V454" i="95"/>
  <c r="P454" i="95"/>
  <c r="P466" i="95"/>
  <c r="J454" i="95"/>
  <c r="I454" i="95"/>
  <c r="C454" i="95"/>
  <c r="AJ453" i="95"/>
  <c r="AD453" i="95"/>
  <c r="AD466" i="95"/>
  <c r="AC453" i="95"/>
  <c r="W453" i="95"/>
  <c r="V453" i="95"/>
  <c r="P453" i="95"/>
  <c r="J453" i="95"/>
  <c r="C453" i="95"/>
  <c r="AT439" i="95"/>
  <c r="AS439" i="95"/>
  <c r="AP439" i="95"/>
  <c r="AO439" i="95"/>
  <c r="AN439" i="95"/>
  <c r="AM439" i="95"/>
  <c r="AL439" i="95"/>
  <c r="AK439" i="95"/>
  <c r="AI439" i="95"/>
  <c r="AH439" i="95"/>
  <c r="AG439" i="95"/>
  <c r="AF439" i="95"/>
  <c r="AE439" i="95"/>
  <c r="AD439" i="95"/>
  <c r="AB439" i="95"/>
  <c r="AA439" i="95"/>
  <c r="Z439" i="95"/>
  <c r="Y439" i="95"/>
  <c r="X439" i="95"/>
  <c r="U439" i="95"/>
  <c r="T439" i="95"/>
  <c r="S439" i="95"/>
  <c r="R439" i="95"/>
  <c r="Q439" i="95"/>
  <c r="O439" i="95"/>
  <c r="N439" i="95"/>
  <c r="M439" i="95"/>
  <c r="L439" i="95"/>
  <c r="K439" i="95"/>
  <c r="H439" i="95"/>
  <c r="G439" i="95"/>
  <c r="F439" i="95"/>
  <c r="F21" i="95"/>
  <c r="F12" i="95"/>
  <c r="E439" i="95"/>
  <c r="D439" i="95"/>
  <c r="AR438" i="95"/>
  <c r="AJ438" i="95"/>
  <c r="AD438" i="95"/>
  <c r="AC438" i="95"/>
  <c r="W438" i="95"/>
  <c r="AQ438" i="95"/>
  <c r="V438" i="95"/>
  <c r="P438" i="95"/>
  <c r="J438" i="95"/>
  <c r="I438" i="95"/>
  <c r="AJ437" i="95"/>
  <c r="AC437" i="95"/>
  <c r="AD437" i="95"/>
  <c r="W437" i="95"/>
  <c r="V437" i="95"/>
  <c r="P437" i="95"/>
  <c r="J437" i="95"/>
  <c r="I437" i="95"/>
  <c r="C437" i="95"/>
  <c r="AJ436" i="95"/>
  <c r="AD436" i="95"/>
  <c r="AC436" i="95"/>
  <c r="AR436" i="95"/>
  <c r="W436" i="95"/>
  <c r="AQ436" i="95"/>
  <c r="V436" i="95"/>
  <c r="P436" i="95"/>
  <c r="I436" i="95"/>
  <c r="J436" i="95"/>
  <c r="C436" i="95"/>
  <c r="AJ435" i="95"/>
  <c r="AD435" i="95"/>
  <c r="AC435" i="95"/>
  <c r="W435" i="95"/>
  <c r="AQ435" i="95"/>
  <c r="V435" i="95"/>
  <c r="P435" i="95"/>
  <c r="J435" i="95"/>
  <c r="I435" i="95"/>
  <c r="C435" i="95"/>
  <c r="AQ434" i="95"/>
  <c r="AJ434" i="95"/>
  <c r="AD434" i="95"/>
  <c r="AC434" i="95"/>
  <c r="AR434" i="95"/>
  <c r="W434" i="95"/>
  <c r="V434" i="95"/>
  <c r="P434" i="95"/>
  <c r="J434" i="95"/>
  <c r="I434" i="95"/>
  <c r="C434" i="95"/>
  <c r="AJ433" i="95"/>
  <c r="AD433" i="95"/>
  <c r="AC433" i="95"/>
  <c r="W433" i="95"/>
  <c r="V433" i="95"/>
  <c r="P433" i="95"/>
  <c r="J433" i="95"/>
  <c r="I433" i="95"/>
  <c r="C433" i="95"/>
  <c r="AJ432" i="95"/>
  <c r="AD432" i="95"/>
  <c r="AC432" i="95"/>
  <c r="W432" i="95"/>
  <c r="AQ432" i="95"/>
  <c r="V432" i="95"/>
  <c r="P432" i="95"/>
  <c r="J432" i="95"/>
  <c r="I432" i="95"/>
  <c r="C432" i="95"/>
  <c r="AJ431" i="95"/>
  <c r="AD431" i="95"/>
  <c r="AC431" i="95"/>
  <c r="W431" i="95"/>
  <c r="AQ431" i="95"/>
  <c r="V431" i="95"/>
  <c r="P431" i="95"/>
  <c r="J431" i="95"/>
  <c r="I431" i="95"/>
  <c r="C431" i="95"/>
  <c r="AQ430" i="95"/>
  <c r="AJ430" i="95"/>
  <c r="AD430" i="95"/>
  <c r="AC430" i="95"/>
  <c r="AR430" i="95"/>
  <c r="W430" i="95"/>
  <c r="V430" i="95"/>
  <c r="P430" i="95"/>
  <c r="J430" i="95"/>
  <c r="I430" i="95"/>
  <c r="C430" i="95"/>
  <c r="AJ429" i="95"/>
  <c r="AD429" i="95"/>
  <c r="AC429" i="95"/>
  <c r="W429" i="95"/>
  <c r="V429" i="95"/>
  <c r="V439" i="95"/>
  <c r="V21" i="95"/>
  <c r="P429" i="95"/>
  <c r="J429" i="95"/>
  <c r="I429" i="95"/>
  <c r="C429" i="95"/>
  <c r="AJ428" i="95"/>
  <c r="AD428" i="95"/>
  <c r="AC428" i="95"/>
  <c r="W428" i="95"/>
  <c r="AQ428" i="95"/>
  <c r="V428" i="95"/>
  <c r="P428" i="95"/>
  <c r="J428" i="95"/>
  <c r="I428" i="95"/>
  <c r="C428" i="95"/>
  <c r="AJ427" i="95"/>
  <c r="AD427" i="95"/>
  <c r="AC427" i="95"/>
  <c r="W427" i="95"/>
  <c r="AQ427" i="95"/>
  <c r="V427" i="95"/>
  <c r="P427" i="95"/>
  <c r="J427" i="95"/>
  <c r="C427" i="95"/>
  <c r="AQ426" i="95"/>
  <c r="AJ426" i="95"/>
  <c r="AJ439" i="95"/>
  <c r="AD426" i="95"/>
  <c r="AC426" i="95"/>
  <c r="W426" i="95"/>
  <c r="W439" i="95"/>
  <c r="V426" i="95"/>
  <c r="P426" i="95"/>
  <c r="P439" i="95"/>
  <c r="J426" i="95"/>
  <c r="I426" i="95"/>
  <c r="C426" i="95"/>
  <c r="C439" i="95"/>
  <c r="A419" i="95"/>
  <c r="AT414" i="95"/>
  <c r="AS414" i="95"/>
  <c r="AP414" i="95"/>
  <c r="AO414" i="95"/>
  <c r="AN414" i="95"/>
  <c r="AM414" i="95"/>
  <c r="AL414" i="95"/>
  <c r="AK414" i="95"/>
  <c r="AI414" i="95"/>
  <c r="AH414" i="95"/>
  <c r="AG414" i="95"/>
  <c r="AF414" i="95"/>
  <c r="AE414" i="95"/>
  <c r="AB414" i="95"/>
  <c r="AA414" i="95"/>
  <c r="Z414" i="95"/>
  <c r="Y414" i="95"/>
  <c r="X414" i="95"/>
  <c r="U414" i="95"/>
  <c r="T414" i="95"/>
  <c r="S414" i="95"/>
  <c r="R414" i="95"/>
  <c r="Q414" i="95"/>
  <c r="O414" i="95"/>
  <c r="N414" i="95"/>
  <c r="M414" i="95"/>
  <c r="L414" i="95"/>
  <c r="K414" i="95"/>
  <c r="H414" i="95"/>
  <c r="G414" i="95"/>
  <c r="F414" i="95"/>
  <c r="E414" i="95"/>
  <c r="D414" i="95"/>
  <c r="AQ413" i="95"/>
  <c r="AJ413" i="95"/>
  <c r="AD413" i="95"/>
  <c r="AC413" i="95"/>
  <c r="W413" i="95"/>
  <c r="V413" i="95"/>
  <c r="P413" i="95"/>
  <c r="J413" i="95"/>
  <c r="I413" i="95"/>
  <c r="C413" i="95"/>
  <c r="AJ411" i="95"/>
  <c r="AC411" i="95"/>
  <c r="AR411" i="95"/>
  <c r="AD411" i="95"/>
  <c r="W411" i="95"/>
  <c r="V411" i="95"/>
  <c r="P411" i="95"/>
  <c r="J411" i="95"/>
  <c r="I411" i="95"/>
  <c r="C411" i="95"/>
  <c r="AJ410" i="95"/>
  <c r="AD410" i="95"/>
  <c r="AC410" i="95"/>
  <c r="AR410" i="95"/>
  <c r="W410" i="95"/>
  <c r="AQ410" i="95"/>
  <c r="V410" i="95"/>
  <c r="P410" i="95"/>
  <c r="I410" i="95"/>
  <c r="J410" i="95"/>
  <c r="C410" i="95"/>
  <c r="AR409" i="95"/>
  <c r="AJ409" i="95"/>
  <c r="AD409" i="95"/>
  <c r="AC409" i="95"/>
  <c r="W409" i="95"/>
  <c r="AQ409" i="95"/>
  <c r="V409" i="95"/>
  <c r="P409" i="95"/>
  <c r="J409" i="95"/>
  <c r="I409" i="95"/>
  <c r="C409" i="95"/>
  <c r="AQ408" i="95"/>
  <c r="AJ408" i="95"/>
  <c r="AD408" i="95"/>
  <c r="AC408" i="95"/>
  <c r="W408" i="95"/>
  <c r="V408" i="95"/>
  <c r="P408" i="95"/>
  <c r="J408" i="95"/>
  <c r="I408" i="95"/>
  <c r="C408" i="95"/>
  <c r="AJ407" i="95"/>
  <c r="AC407" i="95"/>
  <c r="AR407" i="95"/>
  <c r="AD407" i="95"/>
  <c r="W407" i="95"/>
  <c r="V407" i="95"/>
  <c r="P407" i="95"/>
  <c r="J407" i="95"/>
  <c r="I407" i="95"/>
  <c r="C407" i="95"/>
  <c r="AJ406" i="95"/>
  <c r="AD406" i="95"/>
  <c r="AC406" i="95"/>
  <c r="AR406" i="95"/>
  <c r="W406" i="95"/>
  <c r="AQ406" i="95"/>
  <c r="V406" i="95"/>
  <c r="P406" i="95"/>
  <c r="I406" i="95"/>
  <c r="J406" i="95"/>
  <c r="C406" i="95"/>
  <c r="AR405" i="95"/>
  <c r="AJ405" i="95"/>
  <c r="AD405" i="95"/>
  <c r="AC405" i="95"/>
  <c r="W405" i="95"/>
  <c r="AQ405" i="95"/>
  <c r="V405" i="95"/>
  <c r="P405" i="95"/>
  <c r="J405" i="95"/>
  <c r="I405" i="95"/>
  <c r="C405" i="95"/>
  <c r="AQ404" i="95"/>
  <c r="AJ404" i="95"/>
  <c r="AD404" i="95"/>
  <c r="AC404" i="95"/>
  <c r="W404" i="95"/>
  <c r="V404" i="95"/>
  <c r="P404" i="95"/>
  <c r="J404" i="95"/>
  <c r="I404" i="95"/>
  <c r="C404" i="95"/>
  <c r="AJ403" i="95"/>
  <c r="AC403" i="95"/>
  <c r="AR403" i="95"/>
  <c r="AD403" i="95"/>
  <c r="W403" i="95"/>
  <c r="V403" i="95"/>
  <c r="P403" i="95"/>
  <c r="J403" i="95"/>
  <c r="I403" i="95"/>
  <c r="C403" i="95"/>
  <c r="AJ402" i="95"/>
  <c r="AD402" i="95"/>
  <c r="AC402" i="95"/>
  <c r="AR402" i="95"/>
  <c r="W402" i="95"/>
  <c r="AQ402" i="95"/>
  <c r="V402" i="95"/>
  <c r="P402" i="95"/>
  <c r="I402" i="95"/>
  <c r="J402" i="95"/>
  <c r="C402" i="95"/>
  <c r="AR401" i="95"/>
  <c r="AJ401" i="95"/>
  <c r="AD401" i="95"/>
  <c r="AC401" i="95"/>
  <c r="W401" i="95"/>
  <c r="AQ401" i="95"/>
  <c r="V401" i="95"/>
  <c r="P401" i="95"/>
  <c r="J401" i="95"/>
  <c r="I401" i="95"/>
  <c r="C401" i="95"/>
  <c r="AQ400" i="95"/>
  <c r="AJ400" i="95"/>
  <c r="AD400" i="95"/>
  <c r="AC400" i="95"/>
  <c r="W400" i="95"/>
  <c r="V400" i="95"/>
  <c r="P400" i="95"/>
  <c r="J400" i="95"/>
  <c r="I400" i="95"/>
  <c r="C400" i="95"/>
  <c r="AJ399" i="95"/>
  <c r="AC399" i="95"/>
  <c r="AR399" i="95"/>
  <c r="AD399" i="95"/>
  <c r="W399" i="95"/>
  <c r="V399" i="95"/>
  <c r="P399" i="95"/>
  <c r="J399" i="95"/>
  <c r="I399" i="95"/>
  <c r="C399" i="95"/>
  <c r="AJ398" i="95"/>
  <c r="AD398" i="95"/>
  <c r="AC398" i="95"/>
  <c r="AR398" i="95"/>
  <c r="W398" i="95"/>
  <c r="AQ398" i="95"/>
  <c r="V398" i="95"/>
  <c r="P398" i="95"/>
  <c r="I398" i="95"/>
  <c r="J398" i="95"/>
  <c r="C398" i="95"/>
  <c r="AR397" i="95"/>
  <c r="AJ397" i="95"/>
  <c r="AD397" i="95"/>
  <c r="AC397" i="95"/>
  <c r="W397" i="95"/>
  <c r="AQ397" i="95"/>
  <c r="V397" i="95"/>
  <c r="P397" i="95"/>
  <c r="J397" i="95"/>
  <c r="I397" i="95"/>
  <c r="C397" i="95"/>
  <c r="AQ396" i="95"/>
  <c r="AJ396" i="95"/>
  <c r="AD396" i="95"/>
  <c r="AC396" i="95"/>
  <c r="W396" i="95"/>
  <c r="V396" i="95"/>
  <c r="P396" i="95"/>
  <c r="J396" i="95"/>
  <c r="I396" i="95"/>
  <c r="C396" i="95"/>
  <c r="AJ395" i="95"/>
  <c r="AC395" i="95"/>
  <c r="AR395" i="95"/>
  <c r="AD395" i="95"/>
  <c r="W395" i="95"/>
  <c r="V395" i="95"/>
  <c r="P395" i="95"/>
  <c r="J395" i="95"/>
  <c r="I395" i="95"/>
  <c r="C395" i="95"/>
  <c r="AJ394" i="95"/>
  <c r="AD394" i="95"/>
  <c r="AC394" i="95"/>
  <c r="AR394" i="95"/>
  <c r="W394" i="95"/>
  <c r="AQ394" i="95"/>
  <c r="V394" i="95"/>
  <c r="P394" i="95"/>
  <c r="I394" i="95"/>
  <c r="J394" i="95"/>
  <c r="C394" i="95"/>
  <c r="AR393" i="95"/>
  <c r="AJ393" i="95"/>
  <c r="AD393" i="95"/>
  <c r="AC393" i="95"/>
  <c r="W393" i="95"/>
  <c r="AQ393" i="95"/>
  <c r="V393" i="95"/>
  <c r="P393" i="95"/>
  <c r="J393" i="95"/>
  <c r="I393" i="95"/>
  <c r="C393" i="95"/>
  <c r="AQ392" i="95"/>
  <c r="AJ392" i="95"/>
  <c r="AD392" i="95"/>
  <c r="AC392" i="95"/>
  <c r="W392" i="95"/>
  <c r="V392" i="95"/>
  <c r="P392" i="95"/>
  <c r="J392" i="95"/>
  <c r="I392" i="95"/>
  <c r="C392" i="95"/>
  <c r="AJ391" i="95"/>
  <c r="AD391" i="95"/>
  <c r="W391" i="95"/>
  <c r="W414" i="95"/>
  <c r="V391" i="95"/>
  <c r="V414" i="95"/>
  <c r="P391" i="95"/>
  <c r="P414" i="95"/>
  <c r="J391" i="95"/>
  <c r="J414" i="95"/>
  <c r="C391" i="95"/>
  <c r="C414" i="95"/>
  <c r="A383" i="95"/>
  <c r="A445" i="95"/>
  <c r="AT377" i="95"/>
  <c r="AS377" i="95"/>
  <c r="AP377" i="95"/>
  <c r="AO377" i="95"/>
  <c r="AN377" i="95"/>
  <c r="AM377" i="95"/>
  <c r="AL377" i="95"/>
  <c r="AK377" i="95"/>
  <c r="AI377" i="95"/>
  <c r="AH377" i="95"/>
  <c r="AG377" i="95"/>
  <c r="AF377" i="95"/>
  <c r="AE377" i="95"/>
  <c r="AC377" i="95"/>
  <c r="AB377" i="95"/>
  <c r="AA377" i="95"/>
  <c r="Z377" i="95"/>
  <c r="Y377" i="95"/>
  <c r="X377" i="95"/>
  <c r="U377" i="95"/>
  <c r="T377" i="95"/>
  <c r="S377" i="95"/>
  <c r="R377" i="95"/>
  <c r="Q377" i="95"/>
  <c r="O377" i="95"/>
  <c r="N377" i="95"/>
  <c r="M377" i="95"/>
  <c r="L377" i="95"/>
  <c r="K377" i="95"/>
  <c r="H377" i="95"/>
  <c r="D377" i="95"/>
  <c r="AJ376" i="95"/>
  <c r="AD376" i="95"/>
  <c r="W376" i="95"/>
  <c r="P376" i="95"/>
  <c r="J376" i="95"/>
  <c r="I376" i="95"/>
  <c r="AR376" i="95"/>
  <c r="E376" i="95"/>
  <c r="AJ374" i="95"/>
  <c r="AD374" i="95"/>
  <c r="W374" i="95"/>
  <c r="AQ374" i="95"/>
  <c r="V374" i="95"/>
  <c r="P374" i="95"/>
  <c r="I374" i="95"/>
  <c r="AR374" i="95"/>
  <c r="J374" i="95"/>
  <c r="C374" i="95"/>
  <c r="AR373" i="95"/>
  <c r="AJ373" i="95"/>
  <c r="AD373" i="95"/>
  <c r="W373" i="95"/>
  <c r="AQ373" i="95"/>
  <c r="V373" i="95"/>
  <c r="P373" i="95"/>
  <c r="J373" i="95"/>
  <c r="I373" i="95"/>
  <c r="C373" i="95"/>
  <c r="AJ372" i="95"/>
  <c r="AD372" i="95"/>
  <c r="W372" i="95"/>
  <c r="AQ372" i="95"/>
  <c r="V372" i="95"/>
  <c r="P372" i="95"/>
  <c r="I372" i="95"/>
  <c r="AR372" i="95"/>
  <c r="J372" i="95"/>
  <c r="C372" i="95"/>
  <c r="AR371" i="95"/>
  <c r="AJ371" i="95"/>
  <c r="AD371" i="95"/>
  <c r="W371" i="95"/>
  <c r="P371" i="95"/>
  <c r="J371" i="95"/>
  <c r="I371" i="95"/>
  <c r="G371" i="95"/>
  <c r="E371" i="95"/>
  <c r="V371" i="95"/>
  <c r="AJ370" i="95"/>
  <c r="AD370" i="95"/>
  <c r="W370" i="95"/>
  <c r="P370" i="95"/>
  <c r="J370" i="95"/>
  <c r="I370" i="95"/>
  <c r="AR370" i="95"/>
  <c r="G370" i="95"/>
  <c r="F370" i="95"/>
  <c r="V370" i="95"/>
  <c r="AJ369" i="95"/>
  <c r="AD369" i="95"/>
  <c r="W369" i="95"/>
  <c r="P369" i="95"/>
  <c r="J369" i="95"/>
  <c r="I369" i="95"/>
  <c r="AR369" i="95"/>
  <c r="G369" i="95"/>
  <c r="G377" i="95"/>
  <c r="F369" i="95"/>
  <c r="V369" i="95"/>
  <c r="AR368" i="95"/>
  <c r="AJ368" i="95"/>
  <c r="AD368" i="95"/>
  <c r="W368" i="95"/>
  <c r="AQ368" i="95"/>
  <c r="V368" i="95"/>
  <c r="P368" i="95"/>
  <c r="J368" i="95"/>
  <c r="I368" i="95"/>
  <c r="C368" i="95"/>
  <c r="AJ367" i="95"/>
  <c r="AJ377" i="95"/>
  <c r="AD367" i="95"/>
  <c r="AD377" i="95"/>
  <c r="W367" i="95"/>
  <c r="V367" i="95"/>
  <c r="P367" i="95"/>
  <c r="P377" i="95"/>
  <c r="J367" i="95"/>
  <c r="C367" i="95"/>
  <c r="AT353" i="95"/>
  <c r="AS353" i="95"/>
  <c r="AP353" i="95"/>
  <c r="AO353" i="95"/>
  <c r="AN353" i="95"/>
  <c r="AM353" i="95"/>
  <c r="AL353" i="95"/>
  <c r="AK353" i="95"/>
  <c r="AI353" i="95"/>
  <c r="AH353" i="95"/>
  <c r="AG353" i="95"/>
  <c r="AF353" i="95"/>
  <c r="AE353" i="95"/>
  <c r="AC353" i="95"/>
  <c r="AB353" i="95"/>
  <c r="AA353" i="95"/>
  <c r="Z353" i="95"/>
  <c r="Y353" i="95"/>
  <c r="X353" i="95"/>
  <c r="U353" i="95"/>
  <c r="T353" i="95"/>
  <c r="S353" i="95"/>
  <c r="R353" i="95"/>
  <c r="O353" i="95"/>
  <c r="N353" i="95"/>
  <c r="M353" i="95"/>
  <c r="L353" i="95"/>
  <c r="K353" i="95"/>
  <c r="H353" i="95"/>
  <c r="G353" i="95"/>
  <c r="F353" i="95"/>
  <c r="E353" i="95"/>
  <c r="D353" i="95"/>
  <c r="AR352" i="95"/>
  <c r="AJ352" i="95"/>
  <c r="AD352" i="95"/>
  <c r="W352" i="95"/>
  <c r="AQ352" i="95"/>
  <c r="V352" i="95"/>
  <c r="P352" i="95"/>
  <c r="J352" i="95"/>
  <c r="I352" i="95"/>
  <c r="C352" i="95"/>
  <c r="AJ351" i="95"/>
  <c r="AD351" i="95"/>
  <c r="W351" i="95"/>
  <c r="AQ351" i="95"/>
  <c r="V351" i="95"/>
  <c r="P351" i="95"/>
  <c r="J351" i="95"/>
  <c r="C351" i="95"/>
  <c r="AQ350" i="95"/>
  <c r="AJ350" i="95"/>
  <c r="AD350" i="95"/>
  <c r="W350" i="95"/>
  <c r="V350" i="95"/>
  <c r="P350" i="95"/>
  <c r="I350" i="95"/>
  <c r="J350" i="95"/>
  <c r="C350" i="95"/>
  <c r="AJ349" i="95"/>
  <c r="AD349" i="95"/>
  <c r="W349" i="95"/>
  <c r="R349" i="95"/>
  <c r="Q349" i="95"/>
  <c r="J349" i="95"/>
  <c r="C349" i="95"/>
  <c r="AJ348" i="95"/>
  <c r="AD348" i="95"/>
  <c r="W348" i="95"/>
  <c r="AQ348" i="95"/>
  <c r="V348" i="95"/>
  <c r="P348" i="95"/>
  <c r="J348" i="95"/>
  <c r="I348" i="95"/>
  <c r="C348" i="95"/>
  <c r="AJ347" i="95"/>
  <c r="AD347" i="95"/>
  <c r="W347" i="95"/>
  <c r="V347" i="95"/>
  <c r="P347" i="95"/>
  <c r="I347" i="95"/>
  <c r="J347" i="95"/>
  <c r="C347" i="95"/>
  <c r="AQ347" i="95"/>
  <c r="AJ346" i="95"/>
  <c r="AD346" i="95"/>
  <c r="W346" i="95"/>
  <c r="AQ346" i="95"/>
  <c r="V346" i="95"/>
  <c r="P346" i="95"/>
  <c r="J346" i="95"/>
  <c r="C346" i="95"/>
  <c r="AJ345" i="95"/>
  <c r="AD345" i="95"/>
  <c r="W345" i="95"/>
  <c r="AQ345" i="95"/>
  <c r="V345" i="95"/>
  <c r="P345" i="95"/>
  <c r="J345" i="95"/>
  <c r="I345" i="95"/>
  <c r="C345" i="95"/>
  <c r="AJ344" i="95"/>
  <c r="AD344" i="95"/>
  <c r="W344" i="95"/>
  <c r="V344" i="95"/>
  <c r="P344" i="95"/>
  <c r="J344" i="95"/>
  <c r="C344" i="95"/>
  <c r="AQ344" i="95"/>
  <c r="AJ343" i="95"/>
  <c r="AD343" i="95"/>
  <c r="W343" i="95"/>
  <c r="AQ343" i="95"/>
  <c r="V343" i="95"/>
  <c r="P343" i="95"/>
  <c r="J343" i="95"/>
  <c r="I343" i="95"/>
  <c r="C343" i="95"/>
  <c r="AJ342" i="95"/>
  <c r="AD342" i="95"/>
  <c r="W342" i="95"/>
  <c r="V342" i="95"/>
  <c r="P342" i="95"/>
  <c r="J342" i="95"/>
  <c r="C342" i="95"/>
  <c r="AQ342" i="95"/>
  <c r="AJ341" i="95"/>
  <c r="AD341" i="95"/>
  <c r="W341" i="95"/>
  <c r="AQ341" i="95"/>
  <c r="V341" i="95"/>
  <c r="P341" i="95"/>
  <c r="J341" i="95"/>
  <c r="I341" i="95"/>
  <c r="C341" i="95"/>
  <c r="AJ340" i="95"/>
  <c r="AD340" i="95"/>
  <c r="W340" i="95"/>
  <c r="V340" i="95"/>
  <c r="P340" i="95"/>
  <c r="J340" i="95"/>
  <c r="C340" i="95"/>
  <c r="AQ340" i="95"/>
  <c r="AJ339" i="95"/>
  <c r="AD339" i="95"/>
  <c r="W339" i="95"/>
  <c r="AQ339" i="95"/>
  <c r="V339" i="95"/>
  <c r="P339" i="95"/>
  <c r="J339" i="95"/>
  <c r="I339" i="95"/>
  <c r="C339" i="95"/>
  <c r="AJ338" i="95"/>
  <c r="AD338" i="95"/>
  <c r="W338" i="95"/>
  <c r="V338" i="95"/>
  <c r="P338" i="95"/>
  <c r="J338" i="95"/>
  <c r="C338" i="95"/>
  <c r="AQ338" i="95"/>
  <c r="AQ337" i="95"/>
  <c r="AJ337" i="95"/>
  <c r="AD337" i="95"/>
  <c r="W337" i="95"/>
  <c r="V337" i="95"/>
  <c r="P337" i="95"/>
  <c r="J337" i="95"/>
  <c r="I337" i="95"/>
  <c r="C337" i="95"/>
  <c r="AQ336" i="95"/>
  <c r="AJ336" i="95"/>
  <c r="AD336" i="95"/>
  <c r="W336" i="95"/>
  <c r="V336" i="95"/>
  <c r="P336" i="95"/>
  <c r="J336" i="95"/>
  <c r="C336" i="95"/>
  <c r="AJ335" i="95"/>
  <c r="AD335" i="95"/>
  <c r="W335" i="95"/>
  <c r="AQ335" i="95"/>
  <c r="V335" i="95"/>
  <c r="P335" i="95"/>
  <c r="J335" i="95"/>
  <c r="I335" i="95"/>
  <c r="C335" i="95"/>
  <c r="AJ334" i="95"/>
  <c r="AD334" i="95"/>
  <c r="W334" i="95"/>
  <c r="V334" i="95"/>
  <c r="P334" i="95"/>
  <c r="J334" i="95"/>
  <c r="C334" i="95"/>
  <c r="AQ334" i="95"/>
  <c r="AQ333" i="95"/>
  <c r="AJ333" i="95"/>
  <c r="AD333" i="95"/>
  <c r="W333" i="95"/>
  <c r="V333" i="95"/>
  <c r="P333" i="95"/>
  <c r="J333" i="95"/>
  <c r="C333" i="95"/>
  <c r="AJ332" i="95"/>
  <c r="AD332" i="95"/>
  <c r="W332" i="95"/>
  <c r="AQ332" i="95"/>
  <c r="V332" i="95"/>
  <c r="P332" i="95"/>
  <c r="J332" i="95"/>
  <c r="I332" i="95"/>
  <c r="C332" i="95"/>
  <c r="AQ331" i="95"/>
  <c r="AJ331" i="95"/>
  <c r="AD331" i="95"/>
  <c r="W331" i="95"/>
  <c r="V331" i="95"/>
  <c r="P331" i="95"/>
  <c r="J331" i="95"/>
  <c r="I331" i="95"/>
  <c r="C331" i="95"/>
  <c r="AJ330" i="95"/>
  <c r="AD330" i="95"/>
  <c r="W330" i="95"/>
  <c r="AQ330" i="95"/>
  <c r="V330" i="95"/>
  <c r="P330" i="95"/>
  <c r="J330" i="95"/>
  <c r="I330" i="95"/>
  <c r="C330" i="95"/>
  <c r="AJ329" i="95"/>
  <c r="AD329" i="95"/>
  <c r="W329" i="95"/>
  <c r="V329" i="95"/>
  <c r="P329" i="95"/>
  <c r="J329" i="95"/>
  <c r="I329" i="95"/>
  <c r="AR329" i="95"/>
  <c r="C329" i="95"/>
  <c r="AQ329" i="95"/>
  <c r="AQ328" i="95"/>
  <c r="AJ328" i="95"/>
  <c r="AD328" i="95"/>
  <c r="W328" i="95"/>
  <c r="V328" i="95"/>
  <c r="P328" i="95"/>
  <c r="J328" i="95"/>
  <c r="C328" i="95"/>
  <c r="AJ327" i="95"/>
  <c r="AD327" i="95"/>
  <c r="W327" i="95"/>
  <c r="AQ327" i="95"/>
  <c r="V327" i="95"/>
  <c r="P327" i="95"/>
  <c r="J327" i="95"/>
  <c r="I327" i="95"/>
  <c r="C327" i="95"/>
  <c r="AJ326" i="95"/>
  <c r="AD326" i="95"/>
  <c r="W326" i="95"/>
  <c r="AQ326" i="95"/>
  <c r="V326" i="95"/>
  <c r="P326" i="95"/>
  <c r="J326" i="95"/>
  <c r="I326" i="95"/>
  <c r="AR326" i="95"/>
  <c r="C326" i="95"/>
  <c r="AJ325" i="95"/>
  <c r="AD325" i="95"/>
  <c r="W325" i="95"/>
  <c r="AQ325" i="95"/>
  <c r="V325" i="95"/>
  <c r="P325" i="95"/>
  <c r="J325" i="95"/>
  <c r="I325" i="95"/>
  <c r="C325" i="95"/>
  <c r="AJ324" i="95"/>
  <c r="AD324" i="95"/>
  <c r="W324" i="95"/>
  <c r="V324" i="95"/>
  <c r="P324" i="95"/>
  <c r="J324" i="95"/>
  <c r="I324" i="95"/>
  <c r="C324" i="95"/>
  <c r="AQ324" i="95"/>
  <c r="AJ323" i="95"/>
  <c r="AD323" i="95"/>
  <c r="W323" i="95"/>
  <c r="AQ323" i="95"/>
  <c r="V323" i="95"/>
  <c r="P323" i="95"/>
  <c r="J323" i="95"/>
  <c r="I323" i="95"/>
  <c r="C323" i="95"/>
  <c r="A323" i="95"/>
  <c r="A324" i="95"/>
  <c r="A325" i="95"/>
  <c r="A326" i="95"/>
  <c r="A327" i="95"/>
  <c r="A328" i="95"/>
  <c r="A329" i="95"/>
  <c r="A330" i="95"/>
  <c r="A331" i="95"/>
  <c r="A332" i="95"/>
  <c r="A333" i="95"/>
  <c r="A334" i="95"/>
  <c r="A335" i="95"/>
  <c r="A336" i="95"/>
  <c r="A337" i="95"/>
  <c r="A338" i="95"/>
  <c r="A339" i="95"/>
  <c r="A340" i="95"/>
  <c r="A341" i="95"/>
  <c r="A342" i="95"/>
  <c r="A343" i="95"/>
  <c r="A344" i="95"/>
  <c r="A345" i="95"/>
  <c r="A346" i="95"/>
  <c r="A347" i="95"/>
  <c r="A348" i="95"/>
  <c r="A349" i="95"/>
  <c r="A350" i="95"/>
  <c r="AJ322" i="95"/>
  <c r="AD322" i="95"/>
  <c r="W322" i="95"/>
  <c r="V322" i="95"/>
  <c r="P322" i="95"/>
  <c r="J322" i="95"/>
  <c r="I322" i="95"/>
  <c r="C322" i="95"/>
  <c r="AQ322" i="95"/>
  <c r="A322" i="95"/>
  <c r="AJ321" i="95"/>
  <c r="AD321" i="95"/>
  <c r="AD353" i="95"/>
  <c r="AD20" i="95"/>
  <c r="W321" i="95"/>
  <c r="AQ321" i="95"/>
  <c r="V321" i="95"/>
  <c r="P321" i="95"/>
  <c r="J321" i="95"/>
  <c r="C321" i="95"/>
  <c r="AT308" i="95"/>
  <c r="AS308" i="95"/>
  <c r="AP308" i="95"/>
  <c r="AO308" i="95"/>
  <c r="AN308" i="95"/>
  <c r="AM308" i="95"/>
  <c r="AL308" i="95"/>
  <c r="AK308" i="95"/>
  <c r="AI308" i="95"/>
  <c r="AH308" i="95"/>
  <c r="AG308" i="95"/>
  <c r="AF308" i="95"/>
  <c r="AE308" i="95"/>
  <c r="AC308" i="95"/>
  <c r="AB308" i="95"/>
  <c r="AA308" i="95"/>
  <c r="Z308" i="95"/>
  <c r="Y308" i="95"/>
  <c r="X308" i="95"/>
  <c r="U308" i="95"/>
  <c r="T308" i="95"/>
  <c r="S308" i="95"/>
  <c r="R308" i="95"/>
  <c r="Q308" i="95"/>
  <c r="O308" i="95"/>
  <c r="N308" i="95"/>
  <c r="M308" i="95"/>
  <c r="L308" i="95"/>
  <c r="K308" i="95"/>
  <c r="H308" i="95"/>
  <c r="G308" i="95"/>
  <c r="F308" i="95"/>
  <c r="E308" i="95"/>
  <c r="D308" i="95"/>
  <c r="AU307" i="95"/>
  <c r="AJ307" i="95"/>
  <c r="AD307" i="95"/>
  <c r="W307" i="95"/>
  <c r="V307" i="95"/>
  <c r="P307" i="95"/>
  <c r="J307" i="95"/>
  <c r="I307" i="95"/>
  <c r="AR307" i="95"/>
  <c r="C307" i="95"/>
  <c r="AQ307" i="95"/>
  <c r="AJ305" i="95"/>
  <c r="AD305" i="95"/>
  <c r="W305" i="95"/>
  <c r="AQ305" i="95"/>
  <c r="V305" i="95"/>
  <c r="P305" i="95"/>
  <c r="J305" i="95"/>
  <c r="I305" i="95"/>
  <c r="AR305" i="95"/>
  <c r="C305" i="95"/>
  <c r="AJ304" i="95"/>
  <c r="AD304" i="95"/>
  <c r="W304" i="95"/>
  <c r="AU304" i="95"/>
  <c r="V304" i="95"/>
  <c r="P304" i="95"/>
  <c r="J304" i="95"/>
  <c r="I304" i="95"/>
  <c r="AR304" i="95"/>
  <c r="C304" i="95"/>
  <c r="AQ304" i="95"/>
  <c r="AJ303" i="95"/>
  <c r="AD303" i="95"/>
  <c r="W303" i="95"/>
  <c r="AU303" i="95"/>
  <c r="V303" i="95"/>
  <c r="P303" i="95"/>
  <c r="I303" i="95"/>
  <c r="AR303" i="95"/>
  <c r="J303" i="95"/>
  <c r="C303" i="95"/>
  <c r="AQ303" i="95"/>
  <c r="AU302" i="95"/>
  <c r="AJ302" i="95"/>
  <c r="AD302" i="95"/>
  <c r="W302" i="95"/>
  <c r="V302" i="95"/>
  <c r="P302" i="95"/>
  <c r="J302" i="95"/>
  <c r="I302" i="95"/>
  <c r="AR302" i="95"/>
  <c r="C302" i="95"/>
  <c r="AQ302" i="95"/>
  <c r="AJ301" i="95"/>
  <c r="AD301" i="95"/>
  <c r="W301" i="95"/>
  <c r="AQ301" i="95"/>
  <c r="V301" i="95"/>
  <c r="P301" i="95"/>
  <c r="J301" i="95"/>
  <c r="I301" i="95"/>
  <c r="AR301" i="95"/>
  <c r="C301" i="95"/>
  <c r="AJ300" i="95"/>
  <c r="AD300" i="95"/>
  <c r="W300" i="95"/>
  <c r="AU300" i="95"/>
  <c r="V300" i="95"/>
  <c r="P300" i="95"/>
  <c r="J300" i="95"/>
  <c r="I300" i="95"/>
  <c r="AR300" i="95"/>
  <c r="C300" i="95"/>
  <c r="AQ300" i="95"/>
  <c r="AJ299" i="95"/>
  <c r="AD299" i="95"/>
  <c r="W299" i="95"/>
  <c r="AU299" i="95"/>
  <c r="V299" i="95"/>
  <c r="P299" i="95"/>
  <c r="I299" i="95"/>
  <c r="AR299" i="95"/>
  <c r="J299" i="95"/>
  <c r="C299" i="95"/>
  <c r="AQ299" i="95"/>
  <c r="AU298" i="95"/>
  <c r="AJ298" i="95"/>
  <c r="AD298" i="95"/>
  <c r="W298" i="95"/>
  <c r="V298" i="95"/>
  <c r="P298" i="95"/>
  <c r="J298" i="95"/>
  <c r="I298" i="95"/>
  <c r="AR298" i="95"/>
  <c r="C298" i="95"/>
  <c r="AQ298" i="95"/>
  <c r="AJ297" i="95"/>
  <c r="AD297" i="95"/>
  <c r="W297" i="95"/>
  <c r="AQ297" i="95"/>
  <c r="V297" i="95"/>
  <c r="P297" i="95"/>
  <c r="J297" i="95"/>
  <c r="I297" i="95"/>
  <c r="AR297" i="95"/>
  <c r="C297" i="95"/>
  <c r="AJ296" i="95"/>
  <c r="AD296" i="95"/>
  <c r="W296" i="95"/>
  <c r="AU296" i="95"/>
  <c r="V296" i="95"/>
  <c r="P296" i="95"/>
  <c r="J296" i="95"/>
  <c r="I296" i="95"/>
  <c r="AR296" i="95"/>
  <c r="C296" i="95"/>
  <c r="AQ296" i="95"/>
  <c r="AJ295" i="95"/>
  <c r="AD295" i="95"/>
  <c r="W295" i="95"/>
  <c r="AU295" i="95"/>
  <c r="V295" i="95"/>
  <c r="P295" i="95"/>
  <c r="I295" i="95"/>
  <c r="AR295" i="95"/>
  <c r="J295" i="95"/>
  <c r="C295" i="95"/>
  <c r="AQ295" i="95"/>
  <c r="AU294" i="95"/>
  <c r="AJ294" i="95"/>
  <c r="AD294" i="95"/>
  <c r="W294" i="95"/>
  <c r="V294" i="95"/>
  <c r="P294" i="95"/>
  <c r="J294" i="95"/>
  <c r="I294" i="95"/>
  <c r="AR294" i="95"/>
  <c r="C294" i="95"/>
  <c r="AQ294" i="95"/>
  <c r="AJ293" i="95"/>
  <c r="AD293" i="95"/>
  <c r="W293" i="95"/>
  <c r="AQ293" i="95"/>
  <c r="V293" i="95"/>
  <c r="P293" i="95"/>
  <c r="J293" i="95"/>
  <c r="I293" i="95"/>
  <c r="AR293" i="95"/>
  <c r="C293" i="95"/>
  <c r="AJ292" i="95"/>
  <c r="AD292" i="95"/>
  <c r="W292" i="95"/>
  <c r="AU292" i="95"/>
  <c r="V292" i="95"/>
  <c r="P292" i="95"/>
  <c r="J292" i="95"/>
  <c r="I292" i="95"/>
  <c r="AR292" i="95"/>
  <c r="C292" i="95"/>
  <c r="AQ292" i="95"/>
  <c r="AJ291" i="95"/>
  <c r="AD291" i="95"/>
  <c r="W291" i="95"/>
  <c r="AU291" i="95"/>
  <c r="V291" i="95"/>
  <c r="P291" i="95"/>
  <c r="I291" i="95"/>
  <c r="AR291" i="95"/>
  <c r="J291" i="95"/>
  <c r="C291" i="95"/>
  <c r="AQ291" i="95"/>
  <c r="AU290" i="95"/>
  <c r="AJ290" i="95"/>
  <c r="AD290" i="95"/>
  <c r="W290" i="95"/>
  <c r="V290" i="95"/>
  <c r="P290" i="95"/>
  <c r="J290" i="95"/>
  <c r="I290" i="95"/>
  <c r="AR290" i="95"/>
  <c r="C290" i="95"/>
  <c r="AQ290" i="95"/>
  <c r="AJ289" i="95"/>
  <c r="AD289" i="95"/>
  <c r="W289" i="95"/>
  <c r="AQ289" i="95"/>
  <c r="V289" i="95"/>
  <c r="P289" i="95"/>
  <c r="J289" i="95"/>
  <c r="I289" i="95"/>
  <c r="AR289" i="95"/>
  <c r="C289" i="95"/>
  <c r="AJ288" i="95"/>
  <c r="AD288" i="95"/>
  <c r="W288" i="95"/>
  <c r="AU288" i="95"/>
  <c r="V288" i="95"/>
  <c r="P288" i="95"/>
  <c r="J288" i="95"/>
  <c r="I288" i="95"/>
  <c r="AR288" i="95"/>
  <c r="C288" i="95"/>
  <c r="AQ288" i="95"/>
  <c r="AJ287" i="95"/>
  <c r="AD287" i="95"/>
  <c r="W287" i="95"/>
  <c r="AU287" i="95"/>
  <c r="V287" i="95"/>
  <c r="P287" i="95"/>
  <c r="I287" i="95"/>
  <c r="AR287" i="95"/>
  <c r="J287" i="95"/>
  <c r="C287" i="95"/>
  <c r="AQ287" i="95"/>
  <c r="AU286" i="95"/>
  <c r="AJ286" i="95"/>
  <c r="AD286" i="95"/>
  <c r="W286" i="95"/>
  <c r="V286" i="95"/>
  <c r="P286" i="95"/>
  <c r="J286" i="95"/>
  <c r="I286" i="95"/>
  <c r="AR286" i="95"/>
  <c r="C286" i="95"/>
  <c r="AQ286" i="95"/>
  <c r="AJ285" i="95"/>
  <c r="AD285" i="95"/>
  <c r="W285" i="95"/>
  <c r="AQ285" i="95"/>
  <c r="V285" i="95"/>
  <c r="P285" i="95"/>
  <c r="J285" i="95"/>
  <c r="I285" i="95"/>
  <c r="AR285" i="95"/>
  <c r="C285" i="95"/>
  <c r="AJ284" i="95"/>
  <c r="AD284" i="95"/>
  <c r="W284" i="95"/>
  <c r="AU284" i="95"/>
  <c r="V284" i="95"/>
  <c r="P284" i="95"/>
  <c r="J284" i="95"/>
  <c r="I284" i="95"/>
  <c r="AR284" i="95"/>
  <c r="C284" i="95"/>
  <c r="C308" i="95"/>
  <c r="AJ283" i="95"/>
  <c r="AD283" i="95"/>
  <c r="W283" i="95"/>
  <c r="AU283" i="95"/>
  <c r="V283" i="95"/>
  <c r="P283" i="95"/>
  <c r="I283" i="95"/>
  <c r="AR283" i="95"/>
  <c r="J283" i="95"/>
  <c r="C283" i="95"/>
  <c r="AQ283" i="95"/>
  <c r="AU282" i="95"/>
  <c r="AJ282" i="95"/>
  <c r="AD282" i="95"/>
  <c r="W282" i="95"/>
  <c r="V282" i="95"/>
  <c r="P282" i="95"/>
  <c r="J282" i="95"/>
  <c r="I282" i="95"/>
  <c r="AR282" i="95"/>
  <c r="C282" i="95"/>
  <c r="AQ282" i="95"/>
  <c r="AJ281" i="95"/>
  <c r="AD281" i="95"/>
  <c r="W281" i="95"/>
  <c r="AQ281" i="95"/>
  <c r="V281" i="95"/>
  <c r="P281" i="95"/>
  <c r="J281" i="95"/>
  <c r="C281" i="95"/>
  <c r="AJ280" i="95"/>
  <c r="AD280" i="95"/>
  <c r="W280" i="95"/>
  <c r="AU280" i="95"/>
  <c r="V280" i="95"/>
  <c r="P280" i="95"/>
  <c r="J280" i="95"/>
  <c r="I280" i="95"/>
  <c r="AR280" i="95"/>
  <c r="C280" i="95"/>
  <c r="AQ280" i="95"/>
  <c r="AJ279" i="95"/>
  <c r="AJ308" i="95"/>
  <c r="AD279" i="95"/>
  <c r="W279" i="95"/>
  <c r="AU279" i="95"/>
  <c r="V279" i="95"/>
  <c r="P279" i="95"/>
  <c r="J279" i="95"/>
  <c r="C279" i="95"/>
  <c r="AQ279" i="95"/>
  <c r="AT266" i="95"/>
  <c r="AS266" i="95"/>
  <c r="AP266" i="95"/>
  <c r="AO266" i="95"/>
  <c r="AN266" i="95"/>
  <c r="AM266" i="95"/>
  <c r="AL266" i="95"/>
  <c r="AK266" i="95"/>
  <c r="AI266" i="95"/>
  <c r="AH266" i="95"/>
  <c r="AG266" i="95"/>
  <c r="AF266" i="95"/>
  <c r="AE266" i="95"/>
  <c r="AB266" i="95"/>
  <c r="AA266" i="95"/>
  <c r="Z266" i="95"/>
  <c r="Y266" i="95"/>
  <c r="X266" i="95"/>
  <c r="U266" i="95"/>
  <c r="T266" i="95"/>
  <c r="S266" i="95"/>
  <c r="R266" i="95"/>
  <c r="Q266" i="95"/>
  <c r="O266" i="95"/>
  <c r="N266" i="95"/>
  <c r="M266" i="95"/>
  <c r="L266" i="95"/>
  <c r="K266" i="95"/>
  <c r="H266" i="95"/>
  <c r="G266" i="95"/>
  <c r="F266" i="95"/>
  <c r="E266" i="95"/>
  <c r="D266" i="95"/>
  <c r="AJ265" i="95"/>
  <c r="AD265" i="95"/>
  <c r="AC265" i="95"/>
  <c r="W265" i="95"/>
  <c r="V265" i="95"/>
  <c r="P265" i="95"/>
  <c r="J265" i="95"/>
  <c r="I265" i="95"/>
  <c r="C265" i="95"/>
  <c r="AJ264" i="95"/>
  <c r="AD264" i="95"/>
  <c r="AC264" i="95"/>
  <c r="AR264" i="95"/>
  <c r="W264" i="95"/>
  <c r="AQ264" i="95"/>
  <c r="V264" i="95"/>
  <c r="P264" i="95"/>
  <c r="I264" i="95"/>
  <c r="J264" i="95"/>
  <c r="C264" i="95"/>
  <c r="AJ262" i="95"/>
  <c r="AD262" i="95"/>
  <c r="AC262" i="95"/>
  <c r="AR262" i="95"/>
  <c r="W262" i="95"/>
  <c r="AQ262" i="95"/>
  <c r="V262" i="95"/>
  <c r="P262" i="95"/>
  <c r="J262" i="95"/>
  <c r="I262" i="95"/>
  <c r="C262" i="95"/>
  <c r="AJ261" i="95"/>
  <c r="AD261" i="95"/>
  <c r="AC261" i="95"/>
  <c r="W261" i="95"/>
  <c r="V261" i="95"/>
  <c r="P261" i="95"/>
  <c r="J261" i="95"/>
  <c r="C261" i="95"/>
  <c r="AJ260" i="95"/>
  <c r="AD260" i="95"/>
  <c r="AC260" i="95"/>
  <c r="AR260" i="95"/>
  <c r="W260" i="95"/>
  <c r="AQ260" i="95"/>
  <c r="V260" i="95"/>
  <c r="P260" i="95"/>
  <c r="J260" i="95"/>
  <c r="I260" i="95"/>
  <c r="C260" i="95"/>
  <c r="AJ259" i="95"/>
  <c r="AC259" i="95"/>
  <c r="AR259" i="95"/>
  <c r="AD259" i="95"/>
  <c r="W259" i="95"/>
  <c r="V259" i="95"/>
  <c r="P259" i="95"/>
  <c r="J259" i="95"/>
  <c r="I259" i="95"/>
  <c r="C259" i="95"/>
  <c r="AJ258" i="95"/>
  <c r="AD258" i="95"/>
  <c r="AC258" i="95"/>
  <c r="W258" i="95"/>
  <c r="AQ258" i="95"/>
  <c r="V258" i="95"/>
  <c r="P258" i="95"/>
  <c r="J258" i="95"/>
  <c r="I258" i="95"/>
  <c r="C258" i="95"/>
  <c r="AJ257" i="95"/>
  <c r="AD257" i="95"/>
  <c r="AC257" i="95"/>
  <c r="W257" i="95"/>
  <c r="V257" i="95"/>
  <c r="P257" i="95"/>
  <c r="J257" i="95"/>
  <c r="C257" i="95"/>
  <c r="AJ256" i="95"/>
  <c r="AC256" i="95"/>
  <c r="AD256" i="95"/>
  <c r="W256" i="95"/>
  <c r="AQ256" i="95"/>
  <c r="V256" i="95"/>
  <c r="P256" i="95"/>
  <c r="J256" i="95"/>
  <c r="I256" i="95"/>
  <c r="C256" i="95"/>
  <c r="AJ255" i="95"/>
  <c r="AD255" i="95"/>
  <c r="AC255" i="95"/>
  <c r="AR255" i="95"/>
  <c r="W255" i="95"/>
  <c r="AQ255" i="95"/>
  <c r="V255" i="95"/>
  <c r="P255" i="95"/>
  <c r="I255" i="95"/>
  <c r="J255" i="95"/>
  <c r="C255" i="95"/>
  <c r="AJ254" i="95"/>
  <c r="AD254" i="95"/>
  <c r="AC254" i="95"/>
  <c r="AR254" i="95"/>
  <c r="W254" i="95"/>
  <c r="AQ254" i="95"/>
  <c r="V254" i="95"/>
  <c r="P254" i="95"/>
  <c r="J254" i="95"/>
  <c r="I254" i="95"/>
  <c r="C254" i="95"/>
  <c r="AJ253" i="95"/>
  <c r="AC253" i="95"/>
  <c r="AD253" i="95"/>
  <c r="W253" i="95"/>
  <c r="AQ253" i="95"/>
  <c r="V253" i="95"/>
  <c r="P253" i="95"/>
  <c r="J253" i="95"/>
  <c r="I253" i="95"/>
  <c r="C253" i="95"/>
  <c r="AJ252" i="95"/>
  <c r="AD252" i="95"/>
  <c r="AC252" i="95"/>
  <c r="AR252" i="95"/>
  <c r="W252" i="95"/>
  <c r="AQ252" i="95"/>
  <c r="V252" i="95"/>
  <c r="P252" i="95"/>
  <c r="I252" i="95"/>
  <c r="J252" i="95"/>
  <c r="C252" i="95"/>
  <c r="AJ251" i="95"/>
  <c r="AD251" i="95"/>
  <c r="AC251" i="95"/>
  <c r="AR251" i="95"/>
  <c r="W251" i="95"/>
  <c r="AQ251" i="95"/>
  <c r="V251" i="95"/>
  <c r="P251" i="95"/>
  <c r="J251" i="95"/>
  <c r="I251" i="95"/>
  <c r="C251" i="95"/>
  <c r="AJ250" i="95"/>
  <c r="AD250" i="95"/>
  <c r="AC250" i="95"/>
  <c r="W250" i="95"/>
  <c r="AQ250" i="95"/>
  <c r="V250" i="95"/>
  <c r="P250" i="95"/>
  <c r="J250" i="95"/>
  <c r="I250" i="95"/>
  <c r="C250" i="95"/>
  <c r="AJ249" i="95"/>
  <c r="AD249" i="95"/>
  <c r="AC249" i="95"/>
  <c r="W249" i="95"/>
  <c r="AQ249" i="95"/>
  <c r="V249" i="95"/>
  <c r="P249" i="95"/>
  <c r="I249" i="95"/>
  <c r="J249" i="95"/>
  <c r="C249" i="95"/>
  <c r="AR248" i="95"/>
  <c r="AJ248" i="95"/>
  <c r="AD248" i="95"/>
  <c r="AC248" i="95"/>
  <c r="W248" i="95"/>
  <c r="AQ248" i="95"/>
  <c r="V248" i="95"/>
  <c r="P248" i="95"/>
  <c r="J248" i="95"/>
  <c r="I248" i="95"/>
  <c r="C248" i="95"/>
  <c r="AJ247" i="95"/>
  <c r="AD247" i="95"/>
  <c r="AC247" i="95"/>
  <c r="AR247" i="95"/>
  <c r="W247" i="95"/>
  <c r="AQ247" i="95"/>
  <c r="V247" i="95"/>
  <c r="P247" i="95"/>
  <c r="J247" i="95"/>
  <c r="I247" i="95"/>
  <c r="C247" i="95"/>
  <c r="AJ246" i="95"/>
  <c r="AC246" i="95"/>
  <c r="AD246" i="95"/>
  <c r="W246" i="95"/>
  <c r="V246" i="95"/>
  <c r="P246" i="95"/>
  <c r="J246" i="95"/>
  <c r="I246" i="95"/>
  <c r="C246" i="95"/>
  <c r="C266" i="95"/>
  <c r="AT233" i="95"/>
  <c r="AS233" i="95"/>
  <c r="AP233" i="95"/>
  <c r="AO233" i="95"/>
  <c r="AN233" i="95"/>
  <c r="AM233" i="95"/>
  <c r="AL233" i="95"/>
  <c r="AK233" i="95"/>
  <c r="AJ233" i="95"/>
  <c r="AI233" i="95"/>
  <c r="AH233" i="95"/>
  <c r="AG233" i="95"/>
  <c r="AF233" i="95"/>
  <c r="AE233" i="95"/>
  <c r="AC233" i="95"/>
  <c r="AB233" i="95"/>
  <c r="AA233" i="95"/>
  <c r="Z233" i="95"/>
  <c r="X233" i="95"/>
  <c r="U233" i="95"/>
  <c r="T233" i="95"/>
  <c r="S233" i="95"/>
  <c r="R233" i="95"/>
  <c r="Q233" i="95"/>
  <c r="P233" i="95"/>
  <c r="O233" i="95"/>
  <c r="N233" i="95"/>
  <c r="M233" i="95"/>
  <c r="L233" i="95"/>
  <c r="K233" i="95"/>
  <c r="H233" i="95"/>
  <c r="G233" i="95"/>
  <c r="F233" i="95"/>
  <c r="E233" i="95"/>
  <c r="D233" i="95"/>
  <c r="AJ232" i="95"/>
  <c r="AD232" i="95"/>
  <c r="W232" i="95"/>
  <c r="V232" i="95"/>
  <c r="P232" i="95"/>
  <c r="J232" i="95"/>
  <c r="I232" i="95"/>
  <c r="C232" i="95"/>
  <c r="AQ232" i="95"/>
  <c r="AJ231" i="95"/>
  <c r="AD231" i="95"/>
  <c r="Y231" i="95"/>
  <c r="Y233" i="95"/>
  <c r="W231" i="95"/>
  <c r="AQ231" i="95"/>
  <c r="V231" i="95"/>
  <c r="P231" i="95"/>
  <c r="J231" i="95"/>
  <c r="I231" i="95"/>
  <c r="AR231" i="95"/>
  <c r="C231" i="95"/>
  <c r="AJ230" i="95"/>
  <c r="AD230" i="95"/>
  <c r="Y230" i="95"/>
  <c r="W230" i="95"/>
  <c r="AQ230" i="95"/>
  <c r="V230" i="95"/>
  <c r="P230" i="95"/>
  <c r="I230" i="95"/>
  <c r="J230" i="95"/>
  <c r="C230" i="95"/>
  <c r="AJ229" i="95"/>
  <c r="AD229" i="95"/>
  <c r="W229" i="95"/>
  <c r="V229" i="95"/>
  <c r="P229" i="95"/>
  <c r="J229" i="95"/>
  <c r="I229" i="95"/>
  <c r="C229" i="95"/>
  <c r="AQ229" i="95"/>
  <c r="AJ227" i="95"/>
  <c r="AD227" i="95"/>
  <c r="W227" i="95"/>
  <c r="W233" i="95"/>
  <c r="V227" i="95"/>
  <c r="V233" i="95"/>
  <c r="V23" i="95"/>
  <c r="P227" i="95"/>
  <c r="J227" i="95"/>
  <c r="C227" i="95"/>
  <c r="AT214" i="95"/>
  <c r="AS214" i="95"/>
  <c r="AP214" i="95"/>
  <c r="AO214" i="95"/>
  <c r="AN214" i="95"/>
  <c r="AM214" i="95"/>
  <c r="AL214" i="95"/>
  <c r="AK214" i="95"/>
  <c r="AI214" i="95"/>
  <c r="AH214" i="95"/>
  <c r="AG214" i="95"/>
  <c r="AF214" i="95"/>
  <c r="AE214" i="95"/>
  <c r="AB214" i="95"/>
  <c r="AA214" i="95"/>
  <c r="Z214" i="95"/>
  <c r="Z17" i="95"/>
  <c r="Z12" i="95"/>
  <c r="Y214" i="95"/>
  <c r="X214" i="95"/>
  <c r="U214" i="95"/>
  <c r="T214" i="95"/>
  <c r="S214" i="95"/>
  <c r="R214" i="95"/>
  <c r="Q214" i="95"/>
  <c r="O214" i="95"/>
  <c r="N214" i="95"/>
  <c r="M214" i="95"/>
  <c r="L214" i="95"/>
  <c r="K214" i="95"/>
  <c r="H214" i="95"/>
  <c r="G214" i="95"/>
  <c r="F214" i="95"/>
  <c r="E214" i="95"/>
  <c r="D214" i="95"/>
  <c r="AR213" i="95"/>
  <c r="AJ213" i="95"/>
  <c r="AD213" i="95"/>
  <c r="AC213" i="95"/>
  <c r="W213" i="95"/>
  <c r="AQ213" i="95"/>
  <c r="V213" i="95"/>
  <c r="P213" i="95"/>
  <c r="J213" i="95"/>
  <c r="I213" i="95"/>
  <c r="C213" i="95"/>
  <c r="AJ211" i="95"/>
  <c r="AD211" i="95"/>
  <c r="AC211" i="95"/>
  <c r="AR211" i="95"/>
  <c r="W211" i="95"/>
  <c r="AQ211" i="95"/>
  <c r="V211" i="95"/>
  <c r="P211" i="95"/>
  <c r="J211" i="95"/>
  <c r="I211" i="95"/>
  <c r="C211" i="95"/>
  <c r="AJ210" i="95"/>
  <c r="AC210" i="95"/>
  <c r="AR210" i="95"/>
  <c r="AD210" i="95"/>
  <c r="W210" i="95"/>
  <c r="AQ210" i="95"/>
  <c r="V210" i="95"/>
  <c r="P210" i="95"/>
  <c r="J210" i="95"/>
  <c r="I210" i="95"/>
  <c r="C210" i="95"/>
  <c r="AJ209" i="95"/>
  <c r="AD209" i="95"/>
  <c r="AC209" i="95"/>
  <c r="AR209" i="95"/>
  <c r="W209" i="95"/>
  <c r="AQ209" i="95"/>
  <c r="V209" i="95"/>
  <c r="P209" i="95"/>
  <c r="I209" i="95"/>
  <c r="J209" i="95"/>
  <c r="C209" i="95"/>
  <c r="AJ208" i="95"/>
  <c r="AD208" i="95"/>
  <c r="AC208" i="95"/>
  <c r="AR208" i="95"/>
  <c r="W208" i="95"/>
  <c r="AQ208" i="95"/>
  <c r="V208" i="95"/>
  <c r="P208" i="95"/>
  <c r="J208" i="95"/>
  <c r="I208" i="95"/>
  <c r="C208" i="95"/>
  <c r="AJ207" i="95"/>
  <c r="AD207" i="95"/>
  <c r="AC207" i="95"/>
  <c r="W207" i="95"/>
  <c r="AQ207" i="95"/>
  <c r="V207" i="95"/>
  <c r="P207" i="95"/>
  <c r="J207" i="95"/>
  <c r="I207" i="95"/>
  <c r="C207" i="95"/>
  <c r="AJ206" i="95"/>
  <c r="AD206" i="95"/>
  <c r="AC206" i="95"/>
  <c r="W206" i="95"/>
  <c r="AQ206" i="95"/>
  <c r="V206" i="95"/>
  <c r="P206" i="95"/>
  <c r="I206" i="95"/>
  <c r="J206" i="95"/>
  <c r="C206" i="95"/>
  <c r="AR205" i="95"/>
  <c r="AJ205" i="95"/>
  <c r="AD205" i="95"/>
  <c r="AC205" i="95"/>
  <c r="W205" i="95"/>
  <c r="AQ205" i="95"/>
  <c r="V205" i="95"/>
  <c r="P205" i="95"/>
  <c r="J205" i="95"/>
  <c r="I205" i="95"/>
  <c r="C205" i="95"/>
  <c r="AJ204" i="95"/>
  <c r="AD204" i="95"/>
  <c r="AC204" i="95"/>
  <c r="AR204" i="95"/>
  <c r="W204" i="95"/>
  <c r="AQ204" i="95"/>
  <c r="V204" i="95"/>
  <c r="P204" i="95"/>
  <c r="J204" i="95"/>
  <c r="I204" i="95"/>
  <c r="C204" i="95"/>
  <c r="AJ203" i="95"/>
  <c r="AD203" i="95"/>
  <c r="AC203" i="95"/>
  <c r="W203" i="95"/>
  <c r="AQ203" i="95"/>
  <c r="V203" i="95"/>
  <c r="P203" i="95"/>
  <c r="I203" i="95"/>
  <c r="J203" i="95"/>
  <c r="C203" i="95"/>
  <c r="AJ202" i="95"/>
  <c r="AD202" i="95"/>
  <c r="AC202" i="95"/>
  <c r="AR202" i="95"/>
  <c r="W202" i="95"/>
  <c r="AQ202" i="95"/>
  <c r="V202" i="95"/>
  <c r="P202" i="95"/>
  <c r="J202" i="95"/>
  <c r="I202" i="95"/>
  <c r="C202" i="95"/>
  <c r="AJ201" i="95"/>
  <c r="AC201" i="95"/>
  <c r="AD201" i="95"/>
  <c r="W201" i="95"/>
  <c r="AQ201" i="95"/>
  <c r="V201" i="95"/>
  <c r="P201" i="95"/>
  <c r="J201" i="95"/>
  <c r="I201" i="95"/>
  <c r="C201" i="95"/>
  <c r="AJ200" i="95"/>
  <c r="AD200" i="95"/>
  <c r="AC200" i="95"/>
  <c r="AR200" i="95"/>
  <c r="W200" i="95"/>
  <c r="AQ200" i="95"/>
  <c r="V200" i="95"/>
  <c r="P200" i="95"/>
  <c r="I200" i="95"/>
  <c r="J200" i="95"/>
  <c r="C200" i="95"/>
  <c r="AJ199" i="95"/>
  <c r="AD199" i="95"/>
  <c r="AC199" i="95"/>
  <c r="AR199" i="95"/>
  <c r="W199" i="95"/>
  <c r="AQ199" i="95"/>
  <c r="V199" i="95"/>
  <c r="P199" i="95"/>
  <c r="J199" i="95"/>
  <c r="I199" i="95"/>
  <c r="C199" i="95"/>
  <c r="AJ198" i="95"/>
  <c r="AD198" i="95"/>
  <c r="AC198" i="95"/>
  <c r="W198" i="95"/>
  <c r="AQ198" i="95"/>
  <c r="V198" i="95"/>
  <c r="P198" i="95"/>
  <c r="J198" i="95"/>
  <c r="I198" i="95"/>
  <c r="C198" i="95"/>
  <c r="AJ197" i="95"/>
  <c r="AC197" i="95"/>
  <c r="AR197" i="95"/>
  <c r="AD197" i="95"/>
  <c r="W197" i="95"/>
  <c r="V197" i="95"/>
  <c r="V214" i="95"/>
  <c r="V17" i="95"/>
  <c r="P197" i="95"/>
  <c r="J197" i="95"/>
  <c r="I197" i="95"/>
  <c r="C197" i="95"/>
  <c r="AJ196" i="95"/>
  <c r="AD196" i="95"/>
  <c r="AC196" i="95"/>
  <c r="W196" i="95"/>
  <c r="AQ196" i="95"/>
  <c r="V196" i="95"/>
  <c r="P196" i="95"/>
  <c r="I196" i="95"/>
  <c r="J196" i="95"/>
  <c r="C196" i="95"/>
  <c r="AR195" i="95"/>
  <c r="AJ195" i="95"/>
  <c r="AD195" i="95"/>
  <c r="AC195" i="95"/>
  <c r="W195" i="95"/>
  <c r="AQ195" i="95"/>
  <c r="V195" i="95"/>
  <c r="P195" i="95"/>
  <c r="J195" i="95"/>
  <c r="I195" i="95"/>
  <c r="C195" i="95"/>
  <c r="AJ194" i="95"/>
  <c r="AD194" i="95"/>
  <c r="AC194" i="95"/>
  <c r="AR194" i="95"/>
  <c r="W194" i="95"/>
  <c r="AQ194" i="95"/>
  <c r="V194" i="95"/>
  <c r="P194" i="95"/>
  <c r="J194" i="95"/>
  <c r="I194" i="95"/>
  <c r="C194" i="95"/>
  <c r="AJ193" i="95"/>
  <c r="AD193" i="95"/>
  <c r="AC193" i="95"/>
  <c r="W193" i="95"/>
  <c r="AQ193" i="95"/>
  <c r="V193" i="95"/>
  <c r="P193" i="95"/>
  <c r="I193" i="95"/>
  <c r="J193" i="95"/>
  <c r="C193" i="95"/>
  <c r="AJ192" i="95"/>
  <c r="AD192" i="95"/>
  <c r="AC192" i="95"/>
  <c r="AR192" i="95"/>
  <c r="W192" i="95"/>
  <c r="AQ192" i="95"/>
  <c r="V192" i="95"/>
  <c r="P192" i="95"/>
  <c r="J192" i="95"/>
  <c r="I192" i="95"/>
  <c r="C192" i="95"/>
  <c r="AJ191" i="95"/>
  <c r="AC191" i="95"/>
  <c r="AD191" i="95"/>
  <c r="W191" i="95"/>
  <c r="AQ191" i="95"/>
  <c r="V191" i="95"/>
  <c r="P191" i="95"/>
  <c r="J191" i="95"/>
  <c r="I191" i="95"/>
  <c r="C191" i="95"/>
  <c r="AJ190" i="95"/>
  <c r="AJ214" i="95"/>
  <c r="AD190" i="95"/>
  <c r="AC190" i="95"/>
  <c r="W190" i="95"/>
  <c r="AQ190" i="95"/>
  <c r="V190" i="95"/>
  <c r="P190" i="95"/>
  <c r="J190" i="95"/>
  <c r="C190" i="95"/>
  <c r="A182" i="95"/>
  <c r="AT177" i="95"/>
  <c r="AS177" i="95"/>
  <c r="AP177" i="95"/>
  <c r="AO177" i="95"/>
  <c r="AN177" i="95"/>
  <c r="AM177" i="95"/>
  <c r="AL177" i="95"/>
  <c r="AK177" i="95"/>
  <c r="AI177" i="95"/>
  <c r="AI16" i="95"/>
  <c r="AH177" i="95"/>
  <c r="AG177" i="95"/>
  <c r="AF177" i="95"/>
  <c r="AE177" i="95"/>
  <c r="AE16" i="95"/>
  <c r="AB177" i="95"/>
  <c r="AA177" i="95"/>
  <c r="Z177" i="95"/>
  <c r="Y177" i="95"/>
  <c r="X177" i="95"/>
  <c r="U177" i="95"/>
  <c r="T177" i="95"/>
  <c r="S177" i="95"/>
  <c r="R177" i="95"/>
  <c r="Q177" i="95"/>
  <c r="O177" i="95"/>
  <c r="O16" i="95"/>
  <c r="N177" i="95"/>
  <c r="M177" i="95"/>
  <c r="L177" i="95"/>
  <c r="K177" i="95"/>
  <c r="K16" i="95"/>
  <c r="H177" i="95"/>
  <c r="D177" i="95"/>
  <c r="AJ176" i="95"/>
  <c r="AD176" i="95"/>
  <c r="AC176" i="95"/>
  <c r="W176" i="95"/>
  <c r="AQ176" i="95"/>
  <c r="V176" i="95"/>
  <c r="P176" i="95"/>
  <c r="I176" i="95"/>
  <c r="J176" i="95"/>
  <c r="C176" i="95"/>
  <c r="AR174" i="95"/>
  <c r="AJ174" i="95"/>
  <c r="AD174" i="95"/>
  <c r="AC174" i="95"/>
  <c r="W174" i="95"/>
  <c r="AQ174" i="95"/>
  <c r="V174" i="95"/>
  <c r="P174" i="95"/>
  <c r="J174" i="95"/>
  <c r="I174" i="95"/>
  <c r="C174" i="95"/>
  <c r="AJ173" i="95"/>
  <c r="AC173" i="95"/>
  <c r="AD173" i="95"/>
  <c r="W173" i="95"/>
  <c r="V173" i="95"/>
  <c r="P173" i="95"/>
  <c r="J173" i="95"/>
  <c r="I173" i="95"/>
  <c r="C173" i="95"/>
  <c r="AJ172" i="95"/>
  <c r="AD172" i="95"/>
  <c r="AC172" i="95"/>
  <c r="W172" i="95"/>
  <c r="AQ172" i="95"/>
  <c r="V172" i="95"/>
  <c r="P172" i="95"/>
  <c r="J172" i="95"/>
  <c r="I172" i="95"/>
  <c r="C172" i="95"/>
  <c r="AJ171" i="95"/>
  <c r="AD171" i="95"/>
  <c r="AC171" i="95"/>
  <c r="W171" i="95"/>
  <c r="AQ171" i="95"/>
  <c r="P171" i="95"/>
  <c r="J171" i="95"/>
  <c r="I171" i="95"/>
  <c r="F171" i="95"/>
  <c r="V171" i="95"/>
  <c r="C171" i="95"/>
  <c r="AJ170" i="95"/>
  <c r="AD170" i="95"/>
  <c r="AC170" i="95"/>
  <c r="AR170" i="95"/>
  <c r="W170" i="95"/>
  <c r="AQ170" i="95"/>
  <c r="V170" i="95"/>
  <c r="P170" i="95"/>
  <c r="J170" i="95"/>
  <c r="I170" i="95"/>
  <c r="C170" i="95"/>
  <c r="AJ169" i="95"/>
  <c r="AD169" i="95"/>
  <c r="AC169" i="95"/>
  <c r="W169" i="95"/>
  <c r="AQ169" i="95"/>
  <c r="V169" i="95"/>
  <c r="P169" i="95"/>
  <c r="I169" i="95"/>
  <c r="J169" i="95"/>
  <c r="C169" i="95"/>
  <c r="AJ168" i="95"/>
  <c r="AD168" i="95"/>
  <c r="AC168" i="95"/>
  <c r="W168" i="95"/>
  <c r="AQ168" i="95"/>
  <c r="V168" i="95"/>
  <c r="P168" i="95"/>
  <c r="J168" i="95"/>
  <c r="I168" i="95"/>
  <c r="C168" i="95"/>
  <c r="AJ167" i="95"/>
  <c r="AD167" i="95"/>
  <c r="AC167" i="95"/>
  <c r="W167" i="95"/>
  <c r="P167" i="95"/>
  <c r="I167" i="95"/>
  <c r="J167" i="95"/>
  <c r="E167" i="95"/>
  <c r="V167" i="95"/>
  <c r="C167" i="95"/>
  <c r="AJ166" i="95"/>
  <c r="AD166" i="95"/>
  <c r="AC166" i="95"/>
  <c r="AR166" i="95"/>
  <c r="W166" i="95"/>
  <c r="AQ166" i="95"/>
  <c r="V166" i="95"/>
  <c r="P166" i="95"/>
  <c r="I166" i="95"/>
  <c r="J166" i="95"/>
  <c r="C166" i="95"/>
  <c r="AJ165" i="95"/>
  <c r="AD165" i="95"/>
  <c r="AC165" i="95"/>
  <c r="AR165" i="95"/>
  <c r="W165" i="95"/>
  <c r="P165" i="95"/>
  <c r="J165" i="95"/>
  <c r="I165" i="95"/>
  <c r="G165" i="95"/>
  <c r="F165" i="95"/>
  <c r="V165" i="95"/>
  <c r="C165" i="95"/>
  <c r="AJ164" i="95"/>
  <c r="AD164" i="95"/>
  <c r="AC164" i="95"/>
  <c r="W164" i="95"/>
  <c r="P164" i="95"/>
  <c r="I164" i="95"/>
  <c r="J164" i="95"/>
  <c r="G164" i="95"/>
  <c r="F164" i="95"/>
  <c r="E164" i="95"/>
  <c r="AJ163" i="95"/>
  <c r="AC163" i="95"/>
  <c r="AD163" i="95"/>
  <c r="W163" i="95"/>
  <c r="P163" i="95"/>
  <c r="J163" i="95"/>
  <c r="I163" i="95"/>
  <c r="G163" i="95"/>
  <c r="C163" i="95"/>
  <c r="AJ162" i="95"/>
  <c r="AD162" i="95"/>
  <c r="AC162" i="95"/>
  <c r="W162" i="95"/>
  <c r="P162" i="95"/>
  <c r="I162" i="95"/>
  <c r="J162" i="95"/>
  <c r="F162" i="95"/>
  <c r="V162" i="95"/>
  <c r="C162" i="95"/>
  <c r="AJ161" i="95"/>
  <c r="AD161" i="95"/>
  <c r="AC161" i="95"/>
  <c r="AR161" i="95"/>
  <c r="W161" i="95"/>
  <c r="P161" i="95"/>
  <c r="I161" i="95"/>
  <c r="J161" i="95"/>
  <c r="F161" i="95"/>
  <c r="V161" i="95"/>
  <c r="C161" i="95"/>
  <c r="AJ160" i="95"/>
  <c r="AD160" i="95"/>
  <c r="AC160" i="95"/>
  <c r="AR160" i="95"/>
  <c r="W160" i="95"/>
  <c r="P160" i="95"/>
  <c r="I160" i="95"/>
  <c r="J160" i="95"/>
  <c r="F160" i="95"/>
  <c r="E160" i="95"/>
  <c r="AJ159" i="95"/>
  <c r="AC159" i="95"/>
  <c r="AR159" i="95"/>
  <c r="AD159" i="95"/>
  <c r="W159" i="95"/>
  <c r="V159" i="95"/>
  <c r="P159" i="95"/>
  <c r="J159" i="95"/>
  <c r="I159" i="95"/>
  <c r="C159" i="95"/>
  <c r="AJ158" i="95"/>
  <c r="AD158" i="95"/>
  <c r="AC158" i="95"/>
  <c r="W158" i="95"/>
  <c r="P158" i="95"/>
  <c r="I158" i="95"/>
  <c r="J158" i="95"/>
  <c r="G158" i="95"/>
  <c r="E158" i="95"/>
  <c r="AJ157" i="95"/>
  <c r="AC157" i="95"/>
  <c r="AR157" i="95"/>
  <c r="AD157" i="95"/>
  <c r="W157" i="95"/>
  <c r="V157" i="95"/>
  <c r="P157" i="95"/>
  <c r="J157" i="95"/>
  <c r="I157" i="95"/>
  <c r="C157" i="95"/>
  <c r="AJ156" i="95"/>
  <c r="AD156" i="95"/>
  <c r="AC156" i="95"/>
  <c r="W156" i="95"/>
  <c r="AQ156" i="95"/>
  <c r="V156" i="95"/>
  <c r="P156" i="95"/>
  <c r="I156" i="95"/>
  <c r="J156" i="95"/>
  <c r="C156" i="95"/>
  <c r="AJ155" i="95"/>
  <c r="AD155" i="95"/>
  <c r="AC155" i="95"/>
  <c r="W155" i="95"/>
  <c r="AQ155" i="95"/>
  <c r="V155" i="95"/>
  <c r="P155" i="95"/>
  <c r="J155" i="95"/>
  <c r="I155" i="95"/>
  <c r="C155" i="95"/>
  <c r="AJ154" i="95"/>
  <c r="AC154" i="95"/>
  <c r="AR154" i="95"/>
  <c r="AD154" i="95"/>
  <c r="W154" i="95"/>
  <c r="V154" i="95"/>
  <c r="P154" i="95"/>
  <c r="J154" i="95"/>
  <c r="I154" i="95"/>
  <c r="C154" i="95"/>
  <c r="AJ153" i="95"/>
  <c r="AD153" i="95"/>
  <c r="AC153" i="95"/>
  <c r="W153" i="95"/>
  <c r="AQ153" i="95"/>
  <c r="V153" i="95"/>
  <c r="P153" i="95"/>
  <c r="J153" i="95"/>
  <c r="I153" i="95"/>
  <c r="C153" i="95"/>
  <c r="AJ152" i="95"/>
  <c r="AC152" i="95"/>
  <c r="AD152" i="95"/>
  <c r="W152" i="95"/>
  <c r="V152" i="95"/>
  <c r="P152" i="95"/>
  <c r="J152" i="95"/>
  <c r="I152" i="95"/>
  <c r="C152" i="95"/>
  <c r="AJ151" i="95"/>
  <c r="AD151" i="95"/>
  <c r="AC151" i="95"/>
  <c r="W151" i="95"/>
  <c r="AQ151" i="95"/>
  <c r="V151" i="95"/>
  <c r="P151" i="95"/>
  <c r="J151" i="95"/>
  <c r="I151" i="95"/>
  <c r="C151" i="95"/>
  <c r="AJ150" i="95"/>
  <c r="AC150" i="95"/>
  <c r="AD150" i="95"/>
  <c r="W150" i="95"/>
  <c r="V150" i="95"/>
  <c r="P150" i="95"/>
  <c r="J150" i="95"/>
  <c r="I150" i="95"/>
  <c r="C150" i="95"/>
  <c r="AJ149" i="95"/>
  <c r="AD149" i="95"/>
  <c r="AC149" i="95"/>
  <c r="W149" i="95"/>
  <c r="AQ149" i="95"/>
  <c r="P149" i="95"/>
  <c r="J149" i="95"/>
  <c r="I149" i="95"/>
  <c r="F149" i="95"/>
  <c r="F177" i="95"/>
  <c r="C149" i="95"/>
  <c r="AJ148" i="95"/>
  <c r="AD148" i="95"/>
  <c r="AC148" i="95"/>
  <c r="AR148" i="95"/>
  <c r="W148" i="95"/>
  <c r="AQ148" i="95"/>
  <c r="V148" i="95"/>
  <c r="P148" i="95"/>
  <c r="J148" i="95"/>
  <c r="I148" i="95"/>
  <c r="C148" i="95"/>
  <c r="AJ147" i="95"/>
  <c r="AD147" i="95"/>
  <c r="AC147" i="95"/>
  <c r="AR147" i="95"/>
  <c r="W147" i="95"/>
  <c r="W177" i="95"/>
  <c r="V147" i="95"/>
  <c r="P147" i="95"/>
  <c r="J147" i="95"/>
  <c r="I147" i="95"/>
  <c r="C147" i="95"/>
  <c r="AJ146" i="95"/>
  <c r="AC146" i="95"/>
  <c r="AR146" i="95"/>
  <c r="AD146" i="95"/>
  <c r="W146" i="95"/>
  <c r="V146" i="95"/>
  <c r="P146" i="95"/>
  <c r="J146" i="95"/>
  <c r="I146" i="95"/>
  <c r="C146" i="95"/>
  <c r="AJ145" i="95"/>
  <c r="AJ177" i="95"/>
  <c r="AD145" i="95"/>
  <c r="W145" i="95"/>
  <c r="AQ145" i="95"/>
  <c r="V145" i="95"/>
  <c r="P145" i="95"/>
  <c r="J145" i="95"/>
  <c r="C145" i="95"/>
  <c r="AT132" i="95"/>
  <c r="AS132" i="95"/>
  <c r="AP132" i="95"/>
  <c r="AO132" i="95"/>
  <c r="AN132" i="95"/>
  <c r="AM132" i="95"/>
  <c r="AL132" i="95"/>
  <c r="AK132" i="95"/>
  <c r="AI132" i="95"/>
  <c r="AH132" i="95"/>
  <c r="AG132" i="95"/>
  <c r="AF132" i="95"/>
  <c r="AE132" i="95"/>
  <c r="AC132" i="95"/>
  <c r="AB132" i="95"/>
  <c r="AA132" i="95"/>
  <c r="AA15" i="95"/>
  <c r="Z132" i="95"/>
  <c r="Y132" i="95"/>
  <c r="X132" i="95"/>
  <c r="W132" i="95"/>
  <c r="AQ132" i="95"/>
  <c r="U132" i="95"/>
  <c r="T132" i="95"/>
  <c r="S132" i="95"/>
  <c r="R132" i="95"/>
  <c r="Q132" i="95"/>
  <c r="O132" i="95"/>
  <c r="N132" i="95"/>
  <c r="M132" i="95"/>
  <c r="L132" i="95"/>
  <c r="K132" i="95"/>
  <c r="H132" i="95"/>
  <c r="G132" i="95"/>
  <c r="G15" i="95"/>
  <c r="F132" i="95"/>
  <c r="E132" i="95"/>
  <c r="D132" i="95"/>
  <c r="C132" i="95"/>
  <c r="AJ131" i="95"/>
  <c r="AD131" i="95"/>
  <c r="W131" i="95"/>
  <c r="V131" i="95"/>
  <c r="P131" i="95"/>
  <c r="J131" i="95"/>
  <c r="I131" i="95"/>
  <c r="AR131" i="95"/>
  <c r="C131" i="95"/>
  <c r="AQ131" i="95"/>
  <c r="AQ130" i="95"/>
  <c r="AJ130" i="95"/>
  <c r="AD130" i="95"/>
  <c r="W130" i="95"/>
  <c r="V130" i="95"/>
  <c r="P130" i="95"/>
  <c r="J130" i="95"/>
  <c r="I130" i="95"/>
  <c r="AR130" i="95"/>
  <c r="C130" i="95"/>
  <c r="AJ129" i="95"/>
  <c r="AD129" i="95"/>
  <c r="W129" i="95"/>
  <c r="AQ129" i="95"/>
  <c r="V129" i="95"/>
  <c r="P129" i="95"/>
  <c r="J129" i="95"/>
  <c r="I129" i="95"/>
  <c r="C129" i="95"/>
  <c r="AJ128" i="95"/>
  <c r="AD128" i="95"/>
  <c r="W128" i="95"/>
  <c r="AQ128" i="95"/>
  <c r="V128" i="95"/>
  <c r="P128" i="95"/>
  <c r="I128" i="95"/>
  <c r="AR128" i="95"/>
  <c r="J128" i="95"/>
  <c r="C128" i="95"/>
  <c r="AR127" i="95"/>
  <c r="AJ127" i="95"/>
  <c r="AD127" i="95"/>
  <c r="W127" i="95"/>
  <c r="AQ127" i="95"/>
  <c r="V127" i="95"/>
  <c r="P127" i="95"/>
  <c r="J127" i="95"/>
  <c r="I127" i="95"/>
  <c r="C127" i="95"/>
  <c r="AJ126" i="95"/>
  <c r="AD126" i="95"/>
  <c r="W126" i="95"/>
  <c r="V126" i="95"/>
  <c r="P126" i="95"/>
  <c r="I126" i="95"/>
  <c r="AR126" i="95"/>
  <c r="J126" i="95"/>
  <c r="C126" i="95"/>
  <c r="AQ126" i="95"/>
  <c r="AJ125" i="95"/>
  <c r="AD125" i="95"/>
  <c r="W125" i="95"/>
  <c r="V125" i="95"/>
  <c r="P125" i="95"/>
  <c r="J125" i="95"/>
  <c r="I125" i="95"/>
  <c r="C125" i="95"/>
  <c r="AQ125" i="95"/>
  <c r="AJ124" i="95"/>
  <c r="AD124" i="95"/>
  <c r="W124" i="95"/>
  <c r="AQ124" i="95"/>
  <c r="V124" i="95"/>
  <c r="P124" i="95"/>
  <c r="J124" i="95"/>
  <c r="I124" i="95"/>
  <c r="C124" i="95"/>
  <c r="AJ123" i="95"/>
  <c r="AD123" i="95"/>
  <c r="W123" i="95"/>
  <c r="V123" i="95"/>
  <c r="P123" i="95"/>
  <c r="J123" i="95"/>
  <c r="C123" i="95"/>
  <c r="AQ123" i="95"/>
  <c r="AR122" i="95"/>
  <c r="AJ122" i="95"/>
  <c r="AD122" i="95"/>
  <c r="W122" i="95"/>
  <c r="AQ122" i="95"/>
  <c r="V122" i="95"/>
  <c r="P122" i="95"/>
  <c r="J122" i="95"/>
  <c r="I122" i="95"/>
  <c r="C122" i="95"/>
  <c r="AJ120" i="95"/>
  <c r="AD120" i="95"/>
  <c r="W120" i="95"/>
  <c r="V120" i="95"/>
  <c r="P120" i="95"/>
  <c r="J120" i="95"/>
  <c r="C120" i="95"/>
  <c r="AQ120" i="95"/>
  <c r="AR119" i="95"/>
  <c r="AJ119" i="95"/>
  <c r="AD119" i="95"/>
  <c r="W119" i="95"/>
  <c r="AQ119" i="95"/>
  <c r="V119" i="95"/>
  <c r="P119" i="95"/>
  <c r="J119" i="95"/>
  <c r="I119" i="95"/>
  <c r="C119" i="95"/>
  <c r="AJ118" i="95"/>
  <c r="AD118" i="95"/>
  <c r="W118" i="95"/>
  <c r="AQ118" i="95"/>
  <c r="V118" i="95"/>
  <c r="P118" i="95"/>
  <c r="J118" i="95"/>
  <c r="I118" i="95"/>
  <c r="C118" i="95"/>
  <c r="AJ117" i="95"/>
  <c r="AD117" i="95"/>
  <c r="W117" i="95"/>
  <c r="V117" i="95"/>
  <c r="P117" i="95"/>
  <c r="J117" i="95"/>
  <c r="I117" i="95"/>
  <c r="AR117" i="95"/>
  <c r="C117" i="95"/>
  <c r="AQ117" i="95"/>
  <c r="AJ116" i="95"/>
  <c r="AD116" i="95"/>
  <c r="W116" i="95"/>
  <c r="AQ116" i="95"/>
  <c r="V116" i="95"/>
  <c r="P116" i="95"/>
  <c r="J116" i="95"/>
  <c r="I116" i="95"/>
  <c r="AR116" i="95"/>
  <c r="C116" i="95"/>
  <c r="AJ115" i="95"/>
  <c r="AJ132" i="95"/>
  <c r="AD115" i="95"/>
  <c r="AD132" i="95"/>
  <c r="W115" i="95"/>
  <c r="V115" i="95"/>
  <c r="P115" i="95"/>
  <c r="P132" i="95"/>
  <c r="J115" i="95"/>
  <c r="J132" i="95"/>
  <c r="I115" i="95"/>
  <c r="C115" i="95"/>
  <c r="AQ115" i="95"/>
  <c r="AT102" i="95"/>
  <c r="AP102" i="95"/>
  <c r="AO102" i="95"/>
  <c r="AN102" i="95"/>
  <c r="AM102" i="95"/>
  <c r="AL102" i="95"/>
  <c r="AK102" i="95"/>
  <c r="AI102" i="95"/>
  <c r="AH102" i="95"/>
  <c r="AG102" i="95"/>
  <c r="AF102" i="95"/>
  <c r="AE102" i="95"/>
  <c r="AC102" i="95"/>
  <c r="AB102" i="95"/>
  <c r="AA102" i="95"/>
  <c r="Z102" i="95"/>
  <c r="Y102" i="95"/>
  <c r="X102" i="95"/>
  <c r="U102" i="95"/>
  <c r="T102" i="95"/>
  <c r="S102" i="95"/>
  <c r="R102" i="95"/>
  <c r="Q102" i="95"/>
  <c r="O102" i="95"/>
  <c r="N102" i="95"/>
  <c r="M102" i="95"/>
  <c r="L102" i="95"/>
  <c r="K102" i="95"/>
  <c r="H102" i="95"/>
  <c r="G102" i="95"/>
  <c r="F102" i="95"/>
  <c r="D102" i="95"/>
  <c r="AJ101" i="95"/>
  <c r="AD101" i="95"/>
  <c r="W101" i="95"/>
  <c r="AS101" i="95"/>
  <c r="V101" i="95"/>
  <c r="P101" i="95"/>
  <c r="J101" i="95"/>
  <c r="I101" i="95"/>
  <c r="C101" i="95"/>
  <c r="AJ100" i="95"/>
  <c r="AD100" i="95"/>
  <c r="W100" i="95"/>
  <c r="P100" i="95"/>
  <c r="J100" i="95"/>
  <c r="I100" i="95"/>
  <c r="AR100" i="95"/>
  <c r="E100" i="95"/>
  <c r="E102" i="95"/>
  <c r="AJ98" i="95"/>
  <c r="AD98" i="95"/>
  <c r="W98" i="95"/>
  <c r="AS98" i="95"/>
  <c r="V98" i="95"/>
  <c r="P98" i="95"/>
  <c r="J98" i="95"/>
  <c r="I98" i="95"/>
  <c r="C98" i="95"/>
  <c r="AQ98" i="95"/>
  <c r="AJ97" i="95"/>
  <c r="AD97" i="95"/>
  <c r="W97" i="95"/>
  <c r="AS97" i="95"/>
  <c r="V97" i="95"/>
  <c r="P97" i="95"/>
  <c r="J97" i="95"/>
  <c r="I97" i="95"/>
  <c r="C97" i="95"/>
  <c r="AJ96" i="95"/>
  <c r="AD96" i="95"/>
  <c r="W96" i="95"/>
  <c r="AS96" i="95"/>
  <c r="V96" i="95"/>
  <c r="P96" i="95"/>
  <c r="J96" i="95"/>
  <c r="I96" i="95"/>
  <c r="C96" i="95"/>
  <c r="AQ96" i="95"/>
  <c r="AS95" i="95"/>
  <c r="AJ95" i="95"/>
  <c r="AD95" i="95"/>
  <c r="W95" i="95"/>
  <c r="V95" i="95"/>
  <c r="P95" i="95"/>
  <c r="J95" i="95"/>
  <c r="I95" i="95"/>
  <c r="AR95" i="95"/>
  <c r="C95" i="95"/>
  <c r="AQ95" i="95"/>
  <c r="AS94" i="95"/>
  <c r="AJ94" i="95"/>
  <c r="AD94" i="95"/>
  <c r="W94" i="95"/>
  <c r="AQ94" i="95"/>
  <c r="V94" i="95"/>
  <c r="P94" i="95"/>
  <c r="J94" i="95"/>
  <c r="I94" i="95"/>
  <c r="AR94" i="95"/>
  <c r="C94" i="95"/>
  <c r="AJ93" i="95"/>
  <c r="AD93" i="95"/>
  <c r="W93" i="95"/>
  <c r="AS93" i="95"/>
  <c r="V93" i="95"/>
  <c r="P93" i="95"/>
  <c r="J93" i="95"/>
  <c r="I93" i="95"/>
  <c r="C93" i="95"/>
  <c r="AQ93" i="95"/>
  <c r="AJ92" i="95"/>
  <c r="AD92" i="95"/>
  <c r="W92" i="95"/>
  <c r="AS92" i="95"/>
  <c r="V92" i="95"/>
  <c r="P92" i="95"/>
  <c r="J92" i="95"/>
  <c r="I92" i="95"/>
  <c r="C92" i="95"/>
  <c r="AJ91" i="95"/>
  <c r="AD91" i="95"/>
  <c r="W91" i="95"/>
  <c r="AQ91" i="95"/>
  <c r="V91" i="95"/>
  <c r="P91" i="95"/>
  <c r="J91" i="95"/>
  <c r="I91" i="95"/>
  <c r="AR91" i="95"/>
  <c r="C91" i="95"/>
  <c r="AJ90" i="95"/>
  <c r="AD90" i="95"/>
  <c r="W90" i="95"/>
  <c r="AS90" i="95"/>
  <c r="V90" i="95"/>
  <c r="P90" i="95"/>
  <c r="J90" i="95"/>
  <c r="I90" i="95"/>
  <c r="AR90" i="95"/>
  <c r="C90" i="95"/>
  <c r="AQ90" i="95"/>
  <c r="AJ89" i="95"/>
  <c r="AD89" i="95"/>
  <c r="W89" i="95"/>
  <c r="AS89" i="95"/>
  <c r="V89" i="95"/>
  <c r="P89" i="95"/>
  <c r="J89" i="95"/>
  <c r="I89" i="95"/>
  <c r="C89" i="95"/>
  <c r="AJ88" i="95"/>
  <c r="AD88" i="95"/>
  <c r="W88" i="95"/>
  <c r="AS88" i="95"/>
  <c r="V88" i="95"/>
  <c r="P88" i="95"/>
  <c r="J88" i="95"/>
  <c r="I88" i="95"/>
  <c r="C88" i="95"/>
  <c r="AQ88" i="95"/>
  <c r="AS87" i="95"/>
  <c r="AJ87" i="95"/>
  <c r="AD87" i="95"/>
  <c r="W87" i="95"/>
  <c r="V87" i="95"/>
  <c r="P87" i="95"/>
  <c r="J87" i="95"/>
  <c r="I87" i="95"/>
  <c r="AR87" i="95"/>
  <c r="C87" i="95"/>
  <c r="AQ87" i="95"/>
  <c r="AS86" i="95"/>
  <c r="AJ86" i="95"/>
  <c r="AD86" i="95"/>
  <c r="W86" i="95"/>
  <c r="AQ86" i="95"/>
  <c r="V86" i="95"/>
  <c r="P86" i="95"/>
  <c r="J86" i="95"/>
  <c r="I86" i="95"/>
  <c r="AR86" i="95"/>
  <c r="C86" i="95"/>
  <c r="AJ85" i="95"/>
  <c r="AD85" i="95"/>
  <c r="W85" i="95"/>
  <c r="AQ85" i="95"/>
  <c r="V85" i="95"/>
  <c r="P85" i="95"/>
  <c r="J85" i="95"/>
  <c r="I85" i="95"/>
  <c r="AR85" i="95"/>
  <c r="C85" i="95"/>
  <c r="AJ84" i="95"/>
  <c r="AD84" i="95"/>
  <c r="W84" i="95"/>
  <c r="AS84" i="95"/>
  <c r="V84" i="95"/>
  <c r="P84" i="95"/>
  <c r="J84" i="95"/>
  <c r="I84" i="95"/>
  <c r="AR84" i="95"/>
  <c r="C84" i="95"/>
  <c r="AQ84" i="95"/>
  <c r="AJ83" i="95"/>
  <c r="AD83" i="95"/>
  <c r="W83" i="95"/>
  <c r="AS83" i="95"/>
  <c r="V83" i="95"/>
  <c r="P83" i="95"/>
  <c r="J83" i="95"/>
  <c r="I83" i="95"/>
  <c r="C83" i="95"/>
  <c r="AJ82" i="95"/>
  <c r="AD82" i="95"/>
  <c r="W82" i="95"/>
  <c r="AQ82" i="95"/>
  <c r="V82" i="95"/>
  <c r="P82" i="95"/>
  <c r="J82" i="95"/>
  <c r="I82" i="95"/>
  <c r="AR82" i="95"/>
  <c r="C82" i="95"/>
  <c r="AJ81" i="95"/>
  <c r="AD81" i="95"/>
  <c r="W81" i="95"/>
  <c r="AS81" i="95"/>
  <c r="V81" i="95"/>
  <c r="P81" i="95"/>
  <c r="J81" i="95"/>
  <c r="I81" i="95"/>
  <c r="C81" i="95"/>
  <c r="AQ81" i="95"/>
  <c r="AS80" i="95"/>
  <c r="AJ80" i="95"/>
  <c r="AD80" i="95"/>
  <c r="W80" i="95"/>
  <c r="AQ80" i="95"/>
  <c r="V80" i="95"/>
  <c r="P80" i="95"/>
  <c r="J80" i="95"/>
  <c r="I80" i="95"/>
  <c r="AR80" i="95"/>
  <c r="C80" i="95"/>
  <c r="AJ79" i="95"/>
  <c r="AD79" i="95"/>
  <c r="W79" i="95"/>
  <c r="AQ79" i="95"/>
  <c r="V79" i="95"/>
  <c r="P79" i="95"/>
  <c r="J79" i="95"/>
  <c r="I79" i="95"/>
  <c r="AR79" i="95"/>
  <c r="C79" i="95"/>
  <c r="AJ78" i="95"/>
  <c r="AD78" i="95"/>
  <c r="W78" i="95"/>
  <c r="AS78" i="95"/>
  <c r="V78" i="95"/>
  <c r="P78" i="95"/>
  <c r="J78" i="95"/>
  <c r="I78" i="95"/>
  <c r="AR78" i="95"/>
  <c r="C78" i="95"/>
  <c r="AQ78" i="95"/>
  <c r="AS77" i="95"/>
  <c r="AJ77" i="95"/>
  <c r="AD77" i="95"/>
  <c r="W77" i="95"/>
  <c r="V77" i="95"/>
  <c r="P77" i="95"/>
  <c r="J77" i="95"/>
  <c r="I77" i="95"/>
  <c r="AR77" i="95"/>
  <c r="C77" i="95"/>
  <c r="AQ77" i="95"/>
  <c r="AS76" i="95"/>
  <c r="AS102" i="95"/>
  <c r="AJ76" i="95"/>
  <c r="AD76" i="95"/>
  <c r="W76" i="95"/>
  <c r="AQ76" i="95"/>
  <c r="V76" i="95"/>
  <c r="P76" i="95"/>
  <c r="J76" i="95"/>
  <c r="I76" i="95"/>
  <c r="AR76" i="95"/>
  <c r="C76" i="95"/>
  <c r="AJ75" i="95"/>
  <c r="AD75" i="95"/>
  <c r="W75" i="95"/>
  <c r="AS75" i="95"/>
  <c r="V75" i="95"/>
  <c r="P75" i="95"/>
  <c r="J75" i="95"/>
  <c r="I75" i="95"/>
  <c r="C75" i="95"/>
  <c r="AQ75" i="95"/>
  <c r="AS74" i="95"/>
  <c r="AJ74" i="95"/>
  <c r="AJ102" i="95"/>
  <c r="AJ14" i="95"/>
  <c r="AD74" i="95"/>
  <c r="W74" i="95"/>
  <c r="V74" i="95"/>
  <c r="P74" i="95"/>
  <c r="P102" i="95"/>
  <c r="P14" i="95"/>
  <c r="J74" i="95"/>
  <c r="I74" i="95"/>
  <c r="C74" i="95"/>
  <c r="AT61" i="95"/>
  <c r="AS61" i="95"/>
  <c r="AP61" i="95"/>
  <c r="AO61" i="95"/>
  <c r="AN61" i="95"/>
  <c r="AM61" i="95"/>
  <c r="AM13" i="95"/>
  <c r="AM12" i="95"/>
  <c r="AL61" i="95"/>
  <c r="AK61" i="95"/>
  <c r="AI61" i="95"/>
  <c r="AI13" i="95"/>
  <c r="AI12" i="95"/>
  <c r="AH61" i="95"/>
  <c r="AG61" i="95"/>
  <c r="AF61" i="95"/>
  <c r="AE61" i="95"/>
  <c r="AE13" i="95"/>
  <c r="AE12" i="95"/>
  <c r="AC61" i="95"/>
  <c r="AB61" i="95"/>
  <c r="AA61" i="95"/>
  <c r="AA13" i="95"/>
  <c r="AA12" i="95"/>
  <c r="Z61" i="95"/>
  <c r="Y61" i="95"/>
  <c r="X61" i="95"/>
  <c r="U61" i="95"/>
  <c r="T61" i="95"/>
  <c r="S61" i="95"/>
  <c r="S13" i="95"/>
  <c r="S12" i="95"/>
  <c r="R61" i="95"/>
  <c r="Q61" i="95"/>
  <c r="O61" i="95"/>
  <c r="O13" i="95"/>
  <c r="O12" i="95"/>
  <c r="N61" i="95"/>
  <c r="M61" i="95"/>
  <c r="L61" i="95"/>
  <c r="K61" i="95"/>
  <c r="K13" i="95"/>
  <c r="K12" i="95"/>
  <c r="H61" i="95"/>
  <c r="G61" i="95"/>
  <c r="G13" i="95"/>
  <c r="F61" i="95"/>
  <c r="E61" i="95"/>
  <c r="D61" i="95"/>
  <c r="AJ60" i="95"/>
  <c r="AD60" i="95"/>
  <c r="W60" i="95"/>
  <c r="AQ60" i="95"/>
  <c r="V60" i="95"/>
  <c r="P60" i="95"/>
  <c r="J60" i="95"/>
  <c r="I60" i="95"/>
  <c r="AR60" i="95"/>
  <c r="C60" i="95"/>
  <c r="AJ59" i="95"/>
  <c r="AD59" i="95"/>
  <c r="W59" i="95"/>
  <c r="V59" i="95"/>
  <c r="P59" i="95"/>
  <c r="J59" i="95"/>
  <c r="I59" i="95"/>
  <c r="C59" i="95"/>
  <c r="AQ59" i="95"/>
  <c r="AJ58" i="95"/>
  <c r="AD58" i="95"/>
  <c r="W58" i="95"/>
  <c r="AQ58" i="95"/>
  <c r="V58" i="95"/>
  <c r="P58" i="95"/>
  <c r="J58" i="95"/>
  <c r="I58" i="95"/>
  <c r="C58" i="95"/>
  <c r="AJ57" i="95"/>
  <c r="AD57" i="95"/>
  <c r="W57" i="95"/>
  <c r="V57" i="95"/>
  <c r="P57" i="95"/>
  <c r="J57" i="95"/>
  <c r="I57" i="95"/>
  <c r="AR57" i="95"/>
  <c r="C57" i="95"/>
  <c r="AQ57" i="95"/>
  <c r="AJ56" i="95"/>
  <c r="AD56" i="95"/>
  <c r="W56" i="95"/>
  <c r="V56" i="95"/>
  <c r="P56" i="95"/>
  <c r="J56" i="95"/>
  <c r="I56" i="95"/>
  <c r="AR56" i="95"/>
  <c r="C56" i="95"/>
  <c r="AQ56" i="95"/>
  <c r="AJ55" i="95"/>
  <c r="AD55" i="95"/>
  <c r="W55" i="95"/>
  <c r="AQ55" i="95"/>
  <c r="V55" i="95"/>
  <c r="P55" i="95"/>
  <c r="J55" i="95"/>
  <c r="I55" i="95"/>
  <c r="C55" i="95"/>
  <c r="AJ54" i="95"/>
  <c r="AD54" i="95"/>
  <c r="W54" i="95"/>
  <c r="V54" i="95"/>
  <c r="P54" i="95"/>
  <c r="J54" i="95"/>
  <c r="I54" i="95"/>
  <c r="C54" i="95"/>
  <c r="AQ54" i="95"/>
  <c r="AJ53" i="95"/>
  <c r="AD53" i="95"/>
  <c r="W53" i="95"/>
  <c r="AQ53" i="95"/>
  <c r="V53" i="95"/>
  <c r="P53" i="95"/>
  <c r="J53" i="95"/>
  <c r="I53" i="95"/>
  <c r="AR53" i="95"/>
  <c r="C53" i="95"/>
  <c r="AJ52" i="95"/>
  <c r="AD52" i="95"/>
  <c r="W52" i="95"/>
  <c r="AQ52" i="95"/>
  <c r="V52" i="95"/>
  <c r="P52" i="95"/>
  <c r="J52" i="95"/>
  <c r="I52" i="95"/>
  <c r="AR52" i="95"/>
  <c r="C52" i="95"/>
  <c r="AJ51" i="95"/>
  <c r="AD51" i="95"/>
  <c r="W51" i="95"/>
  <c r="V51" i="95"/>
  <c r="P51" i="95"/>
  <c r="J51" i="95"/>
  <c r="I51" i="95"/>
  <c r="AR51" i="95"/>
  <c r="C51" i="95"/>
  <c r="AQ51" i="95"/>
  <c r="AJ50" i="95"/>
  <c r="AD50" i="95"/>
  <c r="W50" i="95"/>
  <c r="AQ50" i="95"/>
  <c r="V50" i="95"/>
  <c r="P50" i="95"/>
  <c r="J50" i="95"/>
  <c r="I50" i="95"/>
  <c r="C50" i="95"/>
  <c r="AJ49" i="95"/>
  <c r="AD49" i="95"/>
  <c r="W49" i="95"/>
  <c r="AQ49" i="95"/>
  <c r="V49" i="95"/>
  <c r="P49" i="95"/>
  <c r="J49" i="95"/>
  <c r="I49" i="95"/>
  <c r="AR49" i="95"/>
  <c r="C49" i="95"/>
  <c r="AJ48" i="95"/>
  <c r="AD48" i="95"/>
  <c r="W48" i="95"/>
  <c r="V48" i="95"/>
  <c r="P48" i="95"/>
  <c r="J48" i="95"/>
  <c r="I48" i="95"/>
  <c r="AR48" i="95"/>
  <c r="C48" i="95"/>
  <c r="AQ48" i="95"/>
  <c r="AJ47" i="95"/>
  <c r="AD47" i="95"/>
  <c r="W47" i="95"/>
  <c r="V47" i="95"/>
  <c r="P47" i="95"/>
  <c r="J47" i="95"/>
  <c r="I47" i="95"/>
  <c r="AR47" i="95"/>
  <c r="C47" i="95"/>
  <c r="AQ47" i="95"/>
  <c r="AJ46" i="95"/>
  <c r="AD46" i="95"/>
  <c r="W46" i="95"/>
  <c r="AQ46" i="95"/>
  <c r="V46" i="95"/>
  <c r="P46" i="95"/>
  <c r="J46" i="95"/>
  <c r="I46" i="95"/>
  <c r="AR46" i="95"/>
  <c r="C46" i="95"/>
  <c r="AJ45" i="95"/>
  <c r="AD45" i="95"/>
  <c r="W45" i="95"/>
  <c r="V45" i="95"/>
  <c r="P45" i="95"/>
  <c r="J45" i="95"/>
  <c r="I45" i="95"/>
  <c r="C45" i="95"/>
  <c r="AQ45" i="95"/>
  <c r="AJ44" i="95"/>
  <c r="AD44" i="95"/>
  <c r="W44" i="95"/>
  <c r="AQ44" i="95"/>
  <c r="V44" i="95"/>
  <c r="P44" i="95"/>
  <c r="J44" i="95"/>
  <c r="I44" i="95"/>
  <c r="C44" i="95"/>
  <c r="AJ43" i="95"/>
  <c r="AD43" i="95"/>
  <c r="W43" i="95"/>
  <c r="AQ43" i="95"/>
  <c r="V43" i="95"/>
  <c r="P43" i="95"/>
  <c r="J43" i="95"/>
  <c r="I43" i="95"/>
  <c r="AR43" i="95"/>
  <c r="C43" i="95"/>
  <c r="AJ42" i="95"/>
  <c r="AD42" i="95"/>
  <c r="W42" i="95"/>
  <c r="V42" i="95"/>
  <c r="P42" i="95"/>
  <c r="J42" i="95"/>
  <c r="I42" i="95"/>
  <c r="AR42" i="95"/>
  <c r="C42" i="95"/>
  <c r="C61" i="95"/>
  <c r="AJ41" i="95"/>
  <c r="AD41" i="95"/>
  <c r="W41" i="95"/>
  <c r="V41" i="95"/>
  <c r="V61" i="95"/>
  <c r="V13" i="95"/>
  <c r="P41" i="95"/>
  <c r="J41" i="95"/>
  <c r="I41" i="95"/>
  <c r="AR41" i="95"/>
  <c r="C41" i="95"/>
  <c r="AQ41" i="95"/>
  <c r="A41" i="95"/>
  <c r="A42" i="95"/>
  <c r="A43" i="95"/>
  <c r="A44" i="95"/>
  <c r="A45" i="95"/>
  <c r="A46" i="95"/>
  <c r="A47" i="95"/>
  <c r="A48" i="95"/>
  <c r="A49" i="95"/>
  <c r="A50" i="95"/>
  <c r="A51" i="95"/>
  <c r="A52" i="95"/>
  <c r="A53" i="95"/>
  <c r="A54" i="95"/>
  <c r="A55" i="95"/>
  <c r="A56" i="95"/>
  <c r="A57" i="95"/>
  <c r="A58" i="95"/>
  <c r="A59" i="95"/>
  <c r="AJ40" i="95"/>
  <c r="AJ61" i="95"/>
  <c r="AJ13" i="95"/>
  <c r="AD40" i="95"/>
  <c r="AD61" i="95"/>
  <c r="AD13" i="95"/>
  <c r="W40" i="95"/>
  <c r="AQ40" i="95"/>
  <c r="V40" i="95"/>
  <c r="P40" i="95"/>
  <c r="P61" i="95"/>
  <c r="P13" i="95"/>
  <c r="J40" i="95"/>
  <c r="J61" i="95"/>
  <c r="J13" i="95"/>
  <c r="C40" i="95"/>
  <c r="A33" i="95"/>
  <c r="A66" i="95"/>
  <c r="A107" i="95"/>
  <c r="A137" i="95"/>
  <c r="A219" i="95"/>
  <c r="A238" i="95"/>
  <c r="A271" i="95"/>
  <c r="A313" i="95"/>
  <c r="AT26" i="95"/>
  <c r="AP26" i="95"/>
  <c r="AO26" i="95"/>
  <c r="AN26" i="95"/>
  <c r="AM26" i="95"/>
  <c r="AL26" i="95"/>
  <c r="AK26" i="95"/>
  <c r="AJ26" i="95"/>
  <c r="AI26" i="95"/>
  <c r="AH26" i="95"/>
  <c r="AG26" i="95"/>
  <c r="AF26" i="95"/>
  <c r="AE26" i="95"/>
  <c r="AD26" i="95"/>
  <c r="AC26" i="95"/>
  <c r="AB26" i="95"/>
  <c r="AA26" i="95"/>
  <c r="Z26" i="95"/>
  <c r="W26" i="95"/>
  <c r="Y26" i="95"/>
  <c r="X26" i="95"/>
  <c r="U26" i="95"/>
  <c r="T26" i="95"/>
  <c r="S26" i="95"/>
  <c r="R26" i="95"/>
  <c r="Q26" i="95"/>
  <c r="P26" i="95"/>
  <c r="O26" i="95"/>
  <c r="N26" i="95"/>
  <c r="M26" i="95"/>
  <c r="L26" i="95"/>
  <c r="K26" i="95"/>
  <c r="I26" i="95"/>
  <c r="H26" i="95"/>
  <c r="G26" i="95"/>
  <c r="D26" i="95"/>
  <c r="AP25" i="95"/>
  <c r="AP24" i="95"/>
  <c r="AO25" i="95"/>
  <c r="AN25" i="95"/>
  <c r="AM25" i="95"/>
  <c r="AM24" i="95"/>
  <c r="AL25" i="95"/>
  <c r="AL24" i="95"/>
  <c r="AK25" i="95"/>
  <c r="AI25" i="95"/>
  <c r="AI24" i="95"/>
  <c r="AH25" i="95"/>
  <c r="AH24" i="95"/>
  <c r="AG25" i="95"/>
  <c r="AF25" i="95"/>
  <c r="AE25" i="95"/>
  <c r="AE24" i="95"/>
  <c r="AB25" i="95"/>
  <c r="AA25" i="95"/>
  <c r="AA24" i="95"/>
  <c r="Z25" i="95"/>
  <c r="Z24" i="95"/>
  <c r="Y25" i="95"/>
  <c r="X25" i="95"/>
  <c r="V25" i="95"/>
  <c r="U25" i="95"/>
  <c r="T25" i="95"/>
  <c r="S25" i="95"/>
  <c r="S24" i="95"/>
  <c r="R25" i="95"/>
  <c r="R24" i="95"/>
  <c r="Q25" i="95"/>
  <c r="P25" i="95"/>
  <c r="O25" i="95"/>
  <c r="O24" i="95"/>
  <c r="N25" i="95"/>
  <c r="N24" i="95"/>
  <c r="M25" i="95"/>
  <c r="L25" i="95"/>
  <c r="K25" i="95"/>
  <c r="K24" i="95"/>
  <c r="J25" i="95"/>
  <c r="H25" i="95"/>
  <c r="G25" i="95"/>
  <c r="G24" i="95"/>
  <c r="F25" i="95"/>
  <c r="E25" i="95"/>
  <c r="D25" i="95"/>
  <c r="AO24" i="95"/>
  <c r="AN24" i="95"/>
  <c r="AK24" i="95"/>
  <c r="AG24" i="95"/>
  <c r="AF24" i="95"/>
  <c r="AB24" i="95"/>
  <c r="Y24" i="95"/>
  <c r="X24" i="95"/>
  <c r="U24" i="95"/>
  <c r="T24" i="95"/>
  <c r="Q24" i="95"/>
  <c r="P24" i="95"/>
  <c r="M24" i="95"/>
  <c r="L24" i="95"/>
  <c r="H24" i="95"/>
  <c r="D24" i="95"/>
  <c r="AP23" i="95"/>
  <c r="AO23" i="95"/>
  <c r="AN23" i="95"/>
  <c r="AM23" i="95"/>
  <c r="AL23" i="95"/>
  <c r="AK23" i="95"/>
  <c r="AJ23" i="95"/>
  <c r="AI23" i="95"/>
  <c r="AH23" i="95"/>
  <c r="AG23" i="95"/>
  <c r="AF23" i="95"/>
  <c r="AE23" i="95"/>
  <c r="AC23" i="95"/>
  <c r="AT23" i="95"/>
  <c r="AB23" i="95"/>
  <c r="AA23" i="95"/>
  <c r="Z23" i="95"/>
  <c r="Y23" i="95"/>
  <c r="X23" i="95"/>
  <c r="W23" i="95"/>
  <c r="U23" i="95"/>
  <c r="T23" i="95"/>
  <c r="S23" i="95"/>
  <c r="R23" i="95"/>
  <c r="Q23" i="95"/>
  <c r="P23" i="95"/>
  <c r="O23" i="95"/>
  <c r="N23" i="95"/>
  <c r="M23" i="95"/>
  <c r="L23" i="95"/>
  <c r="K23" i="95"/>
  <c r="H23" i="95"/>
  <c r="G23" i="95"/>
  <c r="F23" i="95"/>
  <c r="E23" i="95"/>
  <c r="D23" i="95"/>
  <c r="C23" i="95"/>
  <c r="AP22" i="95"/>
  <c r="AO22" i="95"/>
  <c r="AN22" i="95"/>
  <c r="AM22" i="95"/>
  <c r="AL22" i="95"/>
  <c r="AK22" i="95"/>
  <c r="AJ22" i="95"/>
  <c r="AC22" i="95"/>
  <c r="AI22" i="95"/>
  <c r="AH22" i="95"/>
  <c r="AG22" i="95"/>
  <c r="AF22" i="95"/>
  <c r="AE22" i="95"/>
  <c r="AD22" i="95"/>
  <c r="AB22" i="95"/>
  <c r="AA22" i="95"/>
  <c r="Z22" i="95"/>
  <c r="Y22" i="95"/>
  <c r="X22" i="95"/>
  <c r="W22" i="95"/>
  <c r="U22" i="95"/>
  <c r="T22" i="95"/>
  <c r="S22" i="95"/>
  <c r="R22" i="95"/>
  <c r="Q22" i="95"/>
  <c r="P22" i="95"/>
  <c r="O22" i="95"/>
  <c r="N22" i="95"/>
  <c r="M22" i="95"/>
  <c r="L22" i="95"/>
  <c r="K22" i="95"/>
  <c r="H22" i="95"/>
  <c r="G22" i="95"/>
  <c r="F22" i="95"/>
  <c r="E22" i="95"/>
  <c r="D22" i="95"/>
  <c r="C22" i="95"/>
  <c r="AP21" i="95"/>
  <c r="AO21" i="95"/>
  <c r="AN21" i="95"/>
  <c r="AM21" i="95"/>
  <c r="AL21" i="95"/>
  <c r="AK21" i="95"/>
  <c r="AJ21" i="95"/>
  <c r="AC21" i="95"/>
  <c r="AI21" i="95"/>
  <c r="AH21" i="95"/>
  <c r="AG21" i="95"/>
  <c r="AF21" i="95"/>
  <c r="AE21" i="95"/>
  <c r="AD21" i="95"/>
  <c r="AB21" i="95"/>
  <c r="AA21" i="95"/>
  <c r="Z21" i="95"/>
  <c r="Y21" i="95"/>
  <c r="X21" i="95"/>
  <c r="W21" i="95"/>
  <c r="U21" i="95"/>
  <c r="T21" i="95"/>
  <c r="S21" i="95"/>
  <c r="R21" i="95"/>
  <c r="Q21" i="95"/>
  <c r="P21" i="95"/>
  <c r="O21" i="95"/>
  <c r="N21" i="95"/>
  <c r="M21" i="95"/>
  <c r="L21" i="95"/>
  <c r="K21" i="95"/>
  <c r="H21" i="95"/>
  <c r="G21" i="95"/>
  <c r="E21" i="95"/>
  <c r="D21" i="95"/>
  <c r="C21" i="95"/>
  <c r="AP20" i="95"/>
  <c r="AO20" i="95"/>
  <c r="AN20" i="95"/>
  <c r="AM20" i="95"/>
  <c r="AL20" i="95"/>
  <c r="AK20" i="95"/>
  <c r="AI20" i="95"/>
  <c r="AH20" i="95"/>
  <c r="AG20" i="95"/>
  <c r="AF20" i="95"/>
  <c r="AE20" i="95"/>
  <c r="AC20" i="95"/>
  <c r="AT20" i="95"/>
  <c r="AB20" i="95"/>
  <c r="AA20" i="95"/>
  <c r="Z20" i="95"/>
  <c r="Y20" i="95"/>
  <c r="X20" i="95"/>
  <c r="W20" i="95"/>
  <c r="U20" i="95"/>
  <c r="T20" i="95"/>
  <c r="S20" i="95"/>
  <c r="R20" i="95"/>
  <c r="O20" i="95"/>
  <c r="N20" i="95"/>
  <c r="M20" i="95"/>
  <c r="L20" i="95"/>
  <c r="K20" i="95"/>
  <c r="H20" i="95"/>
  <c r="G20" i="95"/>
  <c r="F20" i="95"/>
  <c r="E20" i="95"/>
  <c r="D20" i="95"/>
  <c r="C20" i="95"/>
  <c r="AP19" i="95"/>
  <c r="AO19" i="95"/>
  <c r="AN19" i="95"/>
  <c r="AM19" i="95"/>
  <c r="AL19" i="95"/>
  <c r="AK19" i="95"/>
  <c r="AJ19" i="95"/>
  <c r="AI19" i="95"/>
  <c r="AH19" i="95"/>
  <c r="AG19" i="95"/>
  <c r="AF19" i="95"/>
  <c r="AE19" i="95"/>
  <c r="AC19" i="95"/>
  <c r="AT19" i="95"/>
  <c r="AB19" i="95"/>
  <c r="AA19" i="95"/>
  <c r="Z19" i="95"/>
  <c r="Y19" i="95"/>
  <c r="X19" i="95"/>
  <c r="W19" i="95"/>
  <c r="U19" i="95"/>
  <c r="T19" i="95"/>
  <c r="S19" i="95"/>
  <c r="R19" i="95"/>
  <c r="Q19" i="95"/>
  <c r="O19" i="95"/>
  <c r="N19" i="95"/>
  <c r="M19" i="95"/>
  <c r="L19" i="95"/>
  <c r="K19" i="95"/>
  <c r="H19" i="95"/>
  <c r="G19" i="95"/>
  <c r="F19" i="95"/>
  <c r="E19" i="95"/>
  <c r="D19" i="95"/>
  <c r="C19" i="95"/>
  <c r="AP18" i="95"/>
  <c r="AO18" i="95"/>
  <c r="AN18" i="95"/>
  <c r="AM18" i="95"/>
  <c r="AL18" i="95"/>
  <c r="AK18" i="95"/>
  <c r="AI18" i="95"/>
  <c r="AH18" i="95"/>
  <c r="AG18" i="95"/>
  <c r="AF18" i="95"/>
  <c r="AE18" i="95"/>
  <c r="AB18" i="95"/>
  <c r="AA18" i="95"/>
  <c r="Z18" i="95"/>
  <c r="Y18" i="95"/>
  <c r="X18" i="95"/>
  <c r="W18" i="95"/>
  <c r="U18" i="95"/>
  <c r="T18" i="95"/>
  <c r="S18" i="95"/>
  <c r="R18" i="95"/>
  <c r="Q18" i="95"/>
  <c r="O18" i="95"/>
  <c r="N18" i="95"/>
  <c r="M18" i="95"/>
  <c r="L18" i="95"/>
  <c r="K18" i="95"/>
  <c r="H18" i="95"/>
  <c r="G18" i="95"/>
  <c r="F18" i="95"/>
  <c r="E18" i="95"/>
  <c r="D18" i="95"/>
  <c r="C18" i="95"/>
  <c r="AP17" i="95"/>
  <c r="AO17" i="95"/>
  <c r="AN17" i="95"/>
  <c r="AM17" i="95"/>
  <c r="AL17" i="95"/>
  <c r="AK17" i="95"/>
  <c r="AJ17" i="95"/>
  <c r="AI17" i="95"/>
  <c r="AH17" i="95"/>
  <c r="AG17" i="95"/>
  <c r="AF17" i="95"/>
  <c r="AE17" i="95"/>
  <c r="AB17" i="95"/>
  <c r="AA17" i="95"/>
  <c r="Y17" i="95"/>
  <c r="X17" i="95"/>
  <c r="W17" i="95"/>
  <c r="U17" i="95"/>
  <c r="T17" i="95"/>
  <c r="S17" i="95"/>
  <c r="R17" i="95"/>
  <c r="Q17" i="95"/>
  <c r="O17" i="95"/>
  <c r="N17" i="95"/>
  <c r="M17" i="95"/>
  <c r="L17" i="95"/>
  <c r="K17" i="95"/>
  <c r="H17" i="95"/>
  <c r="G17" i="95"/>
  <c r="F17" i="95"/>
  <c r="E17" i="95"/>
  <c r="D17" i="95"/>
  <c r="C17" i="95"/>
  <c r="AP16" i="95"/>
  <c r="AO16" i="95"/>
  <c r="AN16" i="95"/>
  <c r="AM16" i="95"/>
  <c r="AL16" i="95"/>
  <c r="AK16" i="95"/>
  <c r="AJ16" i="95"/>
  <c r="AH16" i="95"/>
  <c r="AG16" i="95"/>
  <c r="AF16" i="95"/>
  <c r="AB16" i="95"/>
  <c r="AA16" i="95"/>
  <c r="Z16" i="95"/>
  <c r="Y16" i="95"/>
  <c r="X16" i="95"/>
  <c r="W16" i="95"/>
  <c r="U16" i="95"/>
  <c r="T16" i="95"/>
  <c r="S16" i="95"/>
  <c r="R16" i="95"/>
  <c r="Q16" i="95"/>
  <c r="N16" i="95"/>
  <c r="M16" i="95"/>
  <c r="L16" i="95"/>
  <c r="H16" i="95"/>
  <c r="F16" i="95"/>
  <c r="D16" i="95"/>
  <c r="AP15" i="95"/>
  <c r="AO15" i="95"/>
  <c r="AN15" i="95"/>
  <c r="AM15" i="95"/>
  <c r="AL15" i="95"/>
  <c r="AK15" i="95"/>
  <c r="AJ15" i="95"/>
  <c r="AI15" i="95"/>
  <c r="AH15" i="95"/>
  <c r="AG15" i="95"/>
  <c r="AF15" i="95"/>
  <c r="AE15" i="95"/>
  <c r="AD15" i="95"/>
  <c r="AC15" i="95"/>
  <c r="AT15" i="95"/>
  <c r="AB15" i="95"/>
  <c r="Z15" i="95"/>
  <c r="Y15" i="95"/>
  <c r="X15" i="95"/>
  <c r="W15" i="95"/>
  <c r="U15" i="95"/>
  <c r="T15" i="95"/>
  <c r="S15" i="95"/>
  <c r="R15" i="95"/>
  <c r="Q15" i="95"/>
  <c r="P15" i="95"/>
  <c r="O15" i="95"/>
  <c r="N15" i="95"/>
  <c r="M15" i="95"/>
  <c r="L15" i="95"/>
  <c r="K15" i="95"/>
  <c r="J15" i="95"/>
  <c r="H15" i="95"/>
  <c r="F15" i="95"/>
  <c r="E15" i="95"/>
  <c r="D15" i="95"/>
  <c r="C15" i="95"/>
  <c r="AP14" i="95"/>
  <c r="AO14" i="95"/>
  <c r="AN14" i="95"/>
  <c r="AM14" i="95"/>
  <c r="AL14" i="95"/>
  <c r="AK14" i="95"/>
  <c r="AI14" i="95"/>
  <c r="AH14" i="95"/>
  <c r="AG14" i="95"/>
  <c r="AF14" i="95"/>
  <c r="AE14" i="95"/>
  <c r="AC14" i="95"/>
  <c r="AT14" i="95"/>
  <c r="AB14" i="95"/>
  <c r="AA14" i="95"/>
  <c r="Z14" i="95"/>
  <c r="Y14" i="95"/>
  <c r="X14" i="95"/>
  <c r="W14" i="95"/>
  <c r="U14" i="95"/>
  <c r="T14" i="95"/>
  <c r="S14" i="95"/>
  <c r="R14" i="95"/>
  <c r="Q14" i="95"/>
  <c r="O14" i="95"/>
  <c r="N14" i="95"/>
  <c r="M14" i="95"/>
  <c r="L14" i="95"/>
  <c r="K14" i="95"/>
  <c r="H14" i="95"/>
  <c r="G14" i="95"/>
  <c r="F14" i="95"/>
  <c r="E14" i="95"/>
  <c r="D14" i="95"/>
  <c r="C14" i="95"/>
  <c r="AP13" i="95"/>
  <c r="AO13" i="95"/>
  <c r="AN13" i="95"/>
  <c r="AN12" i="95"/>
  <c r="AN27" i="95"/>
  <c r="AL13" i="95"/>
  <c r="AK13" i="95"/>
  <c r="AH13" i="95"/>
  <c r="AG13" i="95"/>
  <c r="AF13" i="95"/>
  <c r="AF12" i="95"/>
  <c r="AF27" i="95"/>
  <c r="AC13" i="95"/>
  <c r="AT13" i="95"/>
  <c r="AB13" i="95"/>
  <c r="AB12" i="95"/>
  <c r="AB27" i="95"/>
  <c r="Z13" i="95"/>
  <c r="Y13" i="95"/>
  <c r="X13" i="95"/>
  <c r="W13" i="95"/>
  <c r="U13" i="95"/>
  <c r="T13" i="95"/>
  <c r="T12" i="95"/>
  <c r="T27" i="95"/>
  <c r="R13" i="95"/>
  <c r="Q13" i="95"/>
  <c r="N13" i="95"/>
  <c r="M13" i="95"/>
  <c r="L13" i="95"/>
  <c r="L12" i="95"/>
  <c r="L27" i="95"/>
  <c r="H13" i="95"/>
  <c r="H12" i="95"/>
  <c r="H27" i="95"/>
  <c r="F13" i="95"/>
  <c r="E13" i="95"/>
  <c r="D13" i="95"/>
  <c r="C13" i="95"/>
  <c r="AP12" i="95"/>
  <c r="AP27" i="95"/>
  <c r="AO12" i="95"/>
  <c r="AO27" i="95"/>
  <c r="AL12" i="95"/>
  <c r="AL27" i="95"/>
  <c r="AK12" i="95"/>
  <c r="AK27" i="95"/>
  <c r="AH12" i="95"/>
  <c r="AH27" i="95"/>
  <c r="AG12" i="95"/>
  <c r="AG27" i="95"/>
  <c r="Y12" i="95"/>
  <c r="Y27" i="95"/>
  <c r="U12" i="95"/>
  <c r="U27" i="95"/>
  <c r="R12" i="95"/>
  <c r="R27" i="95"/>
  <c r="N12" i="95"/>
  <c r="N27" i="95"/>
  <c r="M12" i="95"/>
  <c r="M27" i="95"/>
  <c r="H26" i="94"/>
  <c r="H18" i="94"/>
  <c r="D18" i="94"/>
  <c r="C18" i="94"/>
  <c r="F17" i="94"/>
  <c r="E17" i="94"/>
  <c r="F16" i="94"/>
  <c r="E16" i="94"/>
  <c r="F15" i="94"/>
  <c r="E15" i="94"/>
  <c r="F14" i="94"/>
  <c r="E14" i="94"/>
  <c r="F13" i="94"/>
  <c r="E13" i="94"/>
  <c r="F12" i="94"/>
  <c r="E12" i="94"/>
  <c r="F11" i="94"/>
  <c r="E11" i="94"/>
  <c r="F10" i="94"/>
  <c r="E10" i="94"/>
  <c r="F9" i="94"/>
  <c r="E9" i="94"/>
  <c r="F8" i="94"/>
  <c r="E8" i="94"/>
  <c r="F7" i="94"/>
  <c r="E7" i="94"/>
  <c r="F6" i="94"/>
  <c r="E6" i="94"/>
  <c r="F5" i="94"/>
  <c r="E5" i="94"/>
  <c r="E18" i="94"/>
  <c r="F18" i="94"/>
  <c r="M17" i="89"/>
  <c r="I17" i="89"/>
  <c r="E17" i="89"/>
  <c r="I17" i="78"/>
  <c r="G10" i="78"/>
  <c r="G16" i="78"/>
  <c r="G15" i="78"/>
  <c r="G14" i="78"/>
  <c r="G11" i="78"/>
  <c r="G12" i="78"/>
  <c r="G5" i="78"/>
  <c r="G13" i="78"/>
  <c r="G6" i="78"/>
  <c r="G9" i="78"/>
  <c r="G8" i="78"/>
  <c r="G7" i="78"/>
  <c r="G4" i="78"/>
  <c r="E17" i="78"/>
  <c r="F17" i="78"/>
  <c r="G17" i="78"/>
  <c r="D7" i="78"/>
  <c r="D8" i="78"/>
  <c r="D9" i="78"/>
  <c r="D6" i="78"/>
  <c r="D13" i="78"/>
  <c r="D5" i="78"/>
  <c r="D12" i="78"/>
  <c r="D11" i="78"/>
  <c r="D14" i="78"/>
  <c r="D15" i="78"/>
  <c r="D16" i="78"/>
  <c r="D10" i="78"/>
  <c r="D4" i="78"/>
  <c r="D17" i="78"/>
  <c r="G5" i="77"/>
  <c r="G7" i="77"/>
  <c r="G15" i="77"/>
  <c r="G6" i="77"/>
  <c r="G11" i="77"/>
  <c r="G14" i="77"/>
  <c r="G12" i="77"/>
  <c r="G8" i="77"/>
  <c r="G13" i="77"/>
  <c r="G10" i="77"/>
  <c r="G4" i="77"/>
  <c r="G9" i="77"/>
  <c r="D4" i="77"/>
  <c r="D10" i="77"/>
  <c r="D13" i="77"/>
  <c r="D8" i="77"/>
  <c r="D12" i="77"/>
  <c r="D14" i="77"/>
  <c r="D11" i="77"/>
  <c r="D6" i="77"/>
  <c r="D15" i="77"/>
  <c r="D7" i="77"/>
  <c r="D5" i="77"/>
  <c r="D17" i="77"/>
  <c r="D16" i="77"/>
  <c r="D9" i="77"/>
  <c r="I17" i="77"/>
  <c r="F17" i="77"/>
  <c r="G17" i="77"/>
  <c r="G14" i="76"/>
  <c r="G6" i="76"/>
  <c r="G10" i="76"/>
  <c r="G15" i="76"/>
  <c r="G12" i="76"/>
  <c r="G4" i="76"/>
  <c r="G5" i="76"/>
  <c r="G9" i="76"/>
  <c r="G8" i="76"/>
  <c r="G7" i="76"/>
  <c r="G13" i="76"/>
  <c r="G11" i="76"/>
  <c r="D13" i="76"/>
  <c r="D7" i="76"/>
  <c r="D16" i="76"/>
  <c r="D8" i="76"/>
  <c r="D9" i="76"/>
  <c r="D5" i="76"/>
  <c r="D12" i="76"/>
  <c r="D15" i="76"/>
  <c r="D10" i="76"/>
  <c r="D6" i="76"/>
  <c r="D14" i="76"/>
  <c r="D11" i="76"/>
  <c r="E17" i="77"/>
  <c r="E17" i="76"/>
  <c r="E11" i="55"/>
  <c r="F11" i="55"/>
  <c r="D11" i="55"/>
  <c r="G11" i="55"/>
  <c r="I11" i="55"/>
  <c r="J11" i="55"/>
  <c r="K11" i="55"/>
  <c r="L11" i="55"/>
  <c r="V11" i="55"/>
  <c r="N11" i="55"/>
  <c r="O11" i="55"/>
  <c r="P11" i="55"/>
  <c r="Z11" i="55"/>
  <c r="Q11" i="55"/>
  <c r="S11" i="55"/>
  <c r="X11" i="55"/>
  <c r="AA11" i="55"/>
  <c r="E13" i="55"/>
  <c r="E12" i="55"/>
  <c r="E10" i="55"/>
  <c r="F13" i="55"/>
  <c r="F12" i="55"/>
  <c r="F10" i="55"/>
  <c r="G13" i="55"/>
  <c r="I13" i="55"/>
  <c r="H13" i="55"/>
  <c r="J13" i="55"/>
  <c r="K13" i="55"/>
  <c r="L13" i="55"/>
  <c r="L12" i="55"/>
  <c r="N13" i="55"/>
  <c r="O13" i="55"/>
  <c r="P13" i="55"/>
  <c r="P12" i="55"/>
  <c r="Q13" i="55"/>
  <c r="Q12" i="55"/>
  <c r="Q10" i="55"/>
  <c r="E14" i="55"/>
  <c r="D14" i="55"/>
  <c r="F14" i="55"/>
  <c r="G14" i="55"/>
  <c r="G12" i="55"/>
  <c r="I14" i="55"/>
  <c r="H14" i="55"/>
  <c r="J14" i="55"/>
  <c r="J12" i="55"/>
  <c r="J10" i="55"/>
  <c r="K14" i="55"/>
  <c r="K12" i="55"/>
  <c r="K10" i="55"/>
  <c r="L14" i="55"/>
  <c r="V14" i="55"/>
  <c r="N14" i="55"/>
  <c r="M14" i="55"/>
  <c r="O14" i="55"/>
  <c r="P14" i="55"/>
  <c r="Q14" i="55"/>
  <c r="T14" i="55"/>
  <c r="U14" i="55"/>
  <c r="Y14" i="55"/>
  <c r="E15" i="55"/>
  <c r="F15" i="55"/>
  <c r="D15" i="55"/>
  <c r="C15" i="55"/>
  <c r="G15" i="55"/>
  <c r="I15" i="55"/>
  <c r="H15" i="55"/>
  <c r="J15" i="55"/>
  <c r="K15" i="55"/>
  <c r="L15" i="55"/>
  <c r="V15" i="55"/>
  <c r="N15" i="55"/>
  <c r="M15" i="55"/>
  <c r="O15" i="55"/>
  <c r="P15" i="55"/>
  <c r="Q15" i="55"/>
  <c r="T15" i="55"/>
  <c r="U15" i="55"/>
  <c r="Z15" i="55"/>
  <c r="E16" i="55"/>
  <c r="S16" i="55"/>
  <c r="F16" i="55"/>
  <c r="G16" i="55"/>
  <c r="I16" i="55"/>
  <c r="H16" i="55"/>
  <c r="J16" i="55"/>
  <c r="T16" i="55"/>
  <c r="K16" i="55"/>
  <c r="U16" i="55"/>
  <c r="L16" i="55"/>
  <c r="N16" i="55"/>
  <c r="O16" i="55"/>
  <c r="M16" i="55"/>
  <c r="P16" i="55"/>
  <c r="Q16" i="55"/>
  <c r="V16" i="55"/>
  <c r="Z16" i="55"/>
  <c r="E17" i="55"/>
  <c r="F17" i="55"/>
  <c r="T17" i="55"/>
  <c r="G17" i="55"/>
  <c r="I17" i="55"/>
  <c r="H17" i="55"/>
  <c r="J17" i="55"/>
  <c r="K17" i="55"/>
  <c r="U17" i="55"/>
  <c r="L17" i="55"/>
  <c r="N17" i="55"/>
  <c r="X17" i="55"/>
  <c r="O17" i="55"/>
  <c r="P17" i="55"/>
  <c r="Q17" i="55"/>
  <c r="V17" i="55"/>
  <c r="E18" i="55"/>
  <c r="S18" i="55"/>
  <c r="F18" i="55"/>
  <c r="G18" i="55"/>
  <c r="D18" i="55"/>
  <c r="C18" i="55"/>
  <c r="I18" i="55"/>
  <c r="J18" i="55"/>
  <c r="K18" i="55"/>
  <c r="H18" i="55"/>
  <c r="L18" i="55"/>
  <c r="N18" i="55"/>
  <c r="M18" i="55"/>
  <c r="O18" i="55"/>
  <c r="T18" i="55"/>
  <c r="P18" i="55"/>
  <c r="Q18" i="55"/>
  <c r="V18" i="55"/>
  <c r="E19" i="55"/>
  <c r="D19" i="55"/>
  <c r="F19" i="55"/>
  <c r="T19" i="55"/>
  <c r="G19" i="55"/>
  <c r="Z19" i="55"/>
  <c r="I19" i="55"/>
  <c r="S19" i="55"/>
  <c r="J19" i="55"/>
  <c r="K19" i="55"/>
  <c r="L19" i="55"/>
  <c r="V19" i="55"/>
  <c r="N19" i="55"/>
  <c r="O19" i="55"/>
  <c r="M19" i="55"/>
  <c r="P19" i="55"/>
  <c r="Q19" i="55"/>
  <c r="E20" i="55"/>
  <c r="D20" i="55"/>
  <c r="F20" i="55"/>
  <c r="G20" i="55"/>
  <c r="I20" i="55"/>
  <c r="H20" i="55"/>
  <c r="J20" i="55"/>
  <c r="T20" i="55"/>
  <c r="K20" i="55"/>
  <c r="L20" i="55"/>
  <c r="V20" i="55"/>
  <c r="N20" i="55"/>
  <c r="O20" i="55"/>
  <c r="P20" i="55"/>
  <c r="M20" i="55"/>
  <c r="Q20" i="55"/>
  <c r="U20" i="55"/>
  <c r="X20" i="55"/>
  <c r="Z20" i="55"/>
  <c r="E21" i="55"/>
  <c r="F21" i="55"/>
  <c r="T21" i="55"/>
  <c r="G21" i="55"/>
  <c r="I21" i="55"/>
  <c r="H21" i="55"/>
  <c r="J21" i="55"/>
  <c r="K21" i="55"/>
  <c r="U21" i="55"/>
  <c r="L21" i="55"/>
  <c r="V21" i="55"/>
  <c r="N21" i="55"/>
  <c r="M21" i="55"/>
  <c r="O21" i="55"/>
  <c r="P21" i="55"/>
  <c r="Z21" i="55"/>
  <c r="Q21" i="55"/>
  <c r="Y21" i="55"/>
  <c r="E22" i="55"/>
  <c r="F22" i="55"/>
  <c r="T22" i="55"/>
  <c r="G22" i="55"/>
  <c r="I22" i="55"/>
  <c r="S22" i="55"/>
  <c r="H22" i="55"/>
  <c r="J22" i="55"/>
  <c r="K22" i="55"/>
  <c r="L22" i="55"/>
  <c r="N22" i="55"/>
  <c r="M22" i="55"/>
  <c r="O22" i="55"/>
  <c r="P22" i="55"/>
  <c r="U22" i="55"/>
  <c r="Q22" i="55"/>
  <c r="V22" i="55"/>
  <c r="Z22" i="55"/>
  <c r="E23" i="55"/>
  <c r="S23" i="55"/>
  <c r="F23" i="55"/>
  <c r="G23" i="55"/>
  <c r="U23" i="55"/>
  <c r="I23" i="55"/>
  <c r="J23" i="55"/>
  <c r="H23" i="55"/>
  <c r="K23" i="55"/>
  <c r="L23" i="55"/>
  <c r="N23" i="55"/>
  <c r="X23" i="55"/>
  <c r="O23" i="55"/>
  <c r="P23" i="55"/>
  <c r="Z23" i="55"/>
  <c r="Q23" i="55"/>
  <c r="V23" i="55"/>
  <c r="E24" i="55"/>
  <c r="F24" i="55"/>
  <c r="D24" i="55"/>
  <c r="G24" i="55"/>
  <c r="I24" i="55"/>
  <c r="X24" i="55"/>
  <c r="J24" i="55"/>
  <c r="K24" i="55"/>
  <c r="L24" i="55"/>
  <c r="V24" i="55"/>
  <c r="N24" i="55"/>
  <c r="O24" i="55"/>
  <c r="T24" i="55"/>
  <c r="P24" i="55"/>
  <c r="Z24" i="55"/>
  <c r="Q24" i="55"/>
  <c r="S24" i="55"/>
  <c r="E25" i="55"/>
  <c r="D25" i="55"/>
  <c r="F25" i="55"/>
  <c r="T25" i="55"/>
  <c r="G25" i="55"/>
  <c r="I25" i="55"/>
  <c r="H25" i="55"/>
  <c r="J25" i="55"/>
  <c r="K25" i="55"/>
  <c r="L25" i="55"/>
  <c r="V25" i="55"/>
  <c r="N25" i="55"/>
  <c r="M25" i="55"/>
  <c r="O25" i="55"/>
  <c r="P25" i="55"/>
  <c r="Q25" i="55"/>
  <c r="U25" i="55"/>
  <c r="Z25" i="55"/>
  <c r="E26" i="55"/>
  <c r="F26" i="55"/>
  <c r="T26" i="55"/>
  <c r="G26" i="55"/>
  <c r="Z26" i="55"/>
  <c r="I26" i="55"/>
  <c r="H26" i="55"/>
  <c r="J26" i="55"/>
  <c r="K26" i="55"/>
  <c r="U26" i="55"/>
  <c r="L26" i="55"/>
  <c r="N26" i="55"/>
  <c r="M26" i="55"/>
  <c r="O26" i="55"/>
  <c r="P26" i="55"/>
  <c r="Q26" i="55"/>
  <c r="V26" i="55"/>
  <c r="E27" i="55"/>
  <c r="D27" i="55"/>
  <c r="F27" i="55"/>
  <c r="G27" i="55"/>
  <c r="I27" i="55"/>
  <c r="H27" i="55"/>
  <c r="J27" i="55"/>
  <c r="K27" i="55"/>
  <c r="U27" i="55"/>
  <c r="L27" i="55"/>
  <c r="N27" i="55"/>
  <c r="O27" i="55"/>
  <c r="P27" i="55"/>
  <c r="Z27" i="55"/>
  <c r="Q27" i="55"/>
  <c r="V27" i="55"/>
  <c r="D29" i="55"/>
  <c r="H29" i="55"/>
  <c r="M29" i="55"/>
  <c r="S29" i="55"/>
  <c r="R29" i="55"/>
  <c r="T29" i="55"/>
  <c r="U29" i="55"/>
  <c r="V29" i="55"/>
  <c r="X29" i="55"/>
  <c r="AA29" i="55"/>
  <c r="E30" i="55"/>
  <c r="E28" i="55"/>
  <c r="F30" i="55"/>
  <c r="F28" i="55"/>
  <c r="G30" i="55"/>
  <c r="G28" i="55"/>
  <c r="I30" i="55"/>
  <c r="I28" i="55"/>
  <c r="J30" i="55"/>
  <c r="J28" i="55"/>
  <c r="K30" i="55"/>
  <c r="K28" i="55"/>
  <c r="L30" i="55"/>
  <c r="L28" i="55"/>
  <c r="N30" i="55"/>
  <c r="N28" i="55"/>
  <c r="X28" i="55"/>
  <c r="O30" i="55"/>
  <c r="O28" i="55"/>
  <c r="P30" i="55"/>
  <c r="P28" i="55"/>
  <c r="Q30" i="55"/>
  <c r="Q28" i="55"/>
  <c r="AA28" i="55"/>
  <c r="D31" i="55"/>
  <c r="C31" i="55"/>
  <c r="H31" i="55"/>
  <c r="M31" i="55"/>
  <c r="S31" i="55"/>
  <c r="T31" i="55"/>
  <c r="U31" i="55"/>
  <c r="V31" i="55"/>
  <c r="X31" i="55"/>
  <c r="D32" i="55"/>
  <c r="H32" i="55"/>
  <c r="M32" i="55"/>
  <c r="S32" i="55"/>
  <c r="R32" i="55"/>
  <c r="T32" i="55"/>
  <c r="U32" i="55"/>
  <c r="V32" i="55"/>
  <c r="X32" i="55"/>
  <c r="D33" i="55"/>
  <c r="C33" i="55"/>
  <c r="H33" i="55"/>
  <c r="M33" i="55"/>
  <c r="W33" i="55"/>
  <c r="S33" i="55"/>
  <c r="T33" i="55"/>
  <c r="U33" i="55"/>
  <c r="V33" i="55"/>
  <c r="R33" i="55"/>
  <c r="X33" i="55"/>
  <c r="D34" i="55"/>
  <c r="H34" i="55"/>
  <c r="C34" i="55"/>
  <c r="M34" i="55"/>
  <c r="W34" i="55"/>
  <c r="S34" i="55"/>
  <c r="T34" i="55"/>
  <c r="U34" i="55"/>
  <c r="U30" i="55"/>
  <c r="V34" i="55"/>
  <c r="X34" i="55"/>
  <c r="D35" i="55"/>
  <c r="C35" i="55"/>
  <c r="H35" i="55"/>
  <c r="M35" i="55"/>
  <c r="W35" i="55"/>
  <c r="S35" i="55"/>
  <c r="R35" i="55"/>
  <c r="T35" i="55"/>
  <c r="U35" i="55"/>
  <c r="V35" i="55"/>
  <c r="X35" i="55"/>
  <c r="C36" i="55"/>
  <c r="D36" i="55"/>
  <c r="H36" i="55"/>
  <c r="M36" i="55"/>
  <c r="S36" i="55"/>
  <c r="T36" i="55"/>
  <c r="U36" i="55"/>
  <c r="V36" i="55"/>
  <c r="R36" i="55"/>
  <c r="D37" i="55"/>
  <c r="C37" i="55"/>
  <c r="H37" i="55"/>
  <c r="M37" i="55"/>
  <c r="S37" i="55"/>
  <c r="R37" i="55"/>
  <c r="T37" i="55"/>
  <c r="U37" i="55"/>
  <c r="V37" i="55"/>
  <c r="X37" i="55"/>
  <c r="D38" i="55"/>
  <c r="C38" i="55"/>
  <c r="H38" i="55"/>
  <c r="M38" i="55"/>
  <c r="S38" i="55"/>
  <c r="T38" i="55"/>
  <c r="U38" i="55"/>
  <c r="R38" i="55"/>
  <c r="V38" i="55"/>
  <c r="X38" i="55"/>
  <c r="D39" i="55"/>
  <c r="H39" i="55"/>
  <c r="M39" i="55"/>
  <c r="S39" i="55"/>
  <c r="R39" i="55"/>
  <c r="T39" i="55"/>
  <c r="T30" i="55"/>
  <c r="U39" i="55"/>
  <c r="V39" i="55"/>
  <c r="X39" i="55"/>
  <c r="D40" i="55"/>
  <c r="C40" i="55"/>
  <c r="H40" i="55"/>
  <c r="M40" i="55"/>
  <c r="S40" i="55"/>
  <c r="T40" i="55"/>
  <c r="U40" i="55"/>
  <c r="V40" i="55"/>
  <c r="X40" i="55"/>
  <c r="D41" i="55"/>
  <c r="C41" i="55"/>
  <c r="H41" i="55"/>
  <c r="M41" i="55"/>
  <c r="S41" i="55"/>
  <c r="T41" i="55"/>
  <c r="R41" i="55"/>
  <c r="U41" i="55"/>
  <c r="V41" i="55"/>
  <c r="X41" i="55"/>
  <c r="D42" i="55"/>
  <c r="C42" i="55"/>
  <c r="H42" i="55"/>
  <c r="M42" i="55"/>
  <c r="S42" i="55"/>
  <c r="T42" i="55"/>
  <c r="R42" i="55"/>
  <c r="U42" i="55"/>
  <c r="V42" i="55"/>
  <c r="C43" i="55"/>
  <c r="D43" i="55"/>
  <c r="H43" i="55"/>
  <c r="M43" i="55"/>
  <c r="S43" i="55"/>
  <c r="R43" i="55"/>
  <c r="T43" i="55"/>
  <c r="U43" i="55"/>
  <c r="V43" i="55"/>
  <c r="D44" i="55"/>
  <c r="C44" i="55"/>
  <c r="H44" i="55"/>
  <c r="M44" i="55"/>
  <c r="S44" i="55"/>
  <c r="T44" i="55"/>
  <c r="U44" i="55"/>
  <c r="V44" i="55"/>
  <c r="X44" i="55"/>
  <c r="D45" i="55"/>
  <c r="H45" i="55"/>
  <c r="C45" i="55"/>
  <c r="W45" i="55"/>
  <c r="M45" i="55"/>
  <c r="S45" i="55"/>
  <c r="T45" i="55"/>
  <c r="R45" i="55"/>
  <c r="U45" i="55"/>
  <c r="V45" i="55"/>
  <c r="X45" i="55"/>
  <c r="D47" i="55"/>
  <c r="H47" i="55"/>
  <c r="M47" i="55"/>
  <c r="S47" i="55"/>
  <c r="T47" i="55"/>
  <c r="U47" i="55"/>
  <c r="V47" i="55"/>
  <c r="R47" i="55"/>
  <c r="X47" i="55"/>
  <c r="Y47" i="55"/>
  <c r="Z47" i="55"/>
  <c r="AA47" i="55"/>
  <c r="E48" i="55"/>
  <c r="E46" i="55"/>
  <c r="F48" i="55"/>
  <c r="F46" i="55"/>
  <c r="G48" i="55"/>
  <c r="G46" i="55"/>
  <c r="I48" i="55"/>
  <c r="I46" i="55"/>
  <c r="J48" i="55"/>
  <c r="J46" i="55"/>
  <c r="K48" i="55"/>
  <c r="K46" i="55"/>
  <c r="L48" i="55"/>
  <c r="L46" i="55"/>
  <c r="N48" i="55"/>
  <c r="N46" i="55"/>
  <c r="O48" i="55"/>
  <c r="O46" i="55"/>
  <c r="Y46" i="55"/>
  <c r="P48" i="55"/>
  <c r="P46" i="55"/>
  <c r="Z46" i="55"/>
  <c r="Q48" i="55"/>
  <c r="Q46" i="55"/>
  <c r="AA46" i="55"/>
  <c r="D49" i="55"/>
  <c r="C49" i="55"/>
  <c r="H49" i="55"/>
  <c r="H48" i="55"/>
  <c r="M49" i="55"/>
  <c r="S49" i="55"/>
  <c r="R49" i="55"/>
  <c r="T49" i="55"/>
  <c r="T48" i="55"/>
  <c r="T46" i="55"/>
  <c r="U49" i="55"/>
  <c r="U48" i="55"/>
  <c r="V49" i="55"/>
  <c r="X49" i="55"/>
  <c r="D50" i="55"/>
  <c r="C50" i="55"/>
  <c r="H50" i="55"/>
  <c r="M50" i="55"/>
  <c r="S50" i="55"/>
  <c r="R50" i="55"/>
  <c r="T50" i="55"/>
  <c r="U50" i="55"/>
  <c r="V50" i="55"/>
  <c r="X50" i="55"/>
  <c r="Z50" i="55"/>
  <c r="D51" i="55"/>
  <c r="C51" i="55"/>
  <c r="H51" i="55"/>
  <c r="M51" i="55"/>
  <c r="S51" i="55"/>
  <c r="R51" i="55"/>
  <c r="T51" i="55"/>
  <c r="U51" i="55"/>
  <c r="V51" i="55"/>
  <c r="X51" i="55"/>
  <c r="D52" i="55"/>
  <c r="C52" i="55"/>
  <c r="H52" i="55"/>
  <c r="M52" i="55"/>
  <c r="W52" i="55"/>
  <c r="S52" i="55"/>
  <c r="R52" i="55"/>
  <c r="T52" i="55"/>
  <c r="U52" i="55"/>
  <c r="V52" i="55"/>
  <c r="X52" i="55"/>
  <c r="C53" i="55"/>
  <c r="D53" i="55"/>
  <c r="H53" i="55"/>
  <c r="M53" i="55"/>
  <c r="W53" i="55"/>
  <c r="S53" i="55"/>
  <c r="T53" i="55"/>
  <c r="R53" i="55"/>
  <c r="U53" i="55"/>
  <c r="V53" i="55"/>
  <c r="X53" i="55"/>
  <c r="Z53" i="55"/>
  <c r="C54" i="55"/>
  <c r="D54" i="55"/>
  <c r="H54" i="55"/>
  <c r="M54" i="55"/>
  <c r="S54" i="55"/>
  <c r="T54" i="55"/>
  <c r="U54" i="55"/>
  <c r="V54" i="55"/>
  <c r="R54" i="55"/>
  <c r="D55" i="55"/>
  <c r="C55" i="55"/>
  <c r="H55" i="55"/>
  <c r="M55" i="55"/>
  <c r="W55" i="55"/>
  <c r="S55" i="55"/>
  <c r="R55" i="55"/>
  <c r="T55" i="55"/>
  <c r="U55" i="55"/>
  <c r="V55" i="55"/>
  <c r="X55" i="55"/>
  <c r="Z55" i="55"/>
  <c r="D56" i="55"/>
  <c r="C56" i="55"/>
  <c r="H56" i="55"/>
  <c r="M56" i="55"/>
  <c r="W56" i="55"/>
  <c r="S56" i="55"/>
  <c r="R56" i="55"/>
  <c r="T56" i="55"/>
  <c r="U56" i="55"/>
  <c r="V56" i="55"/>
  <c r="X56" i="55"/>
  <c r="Z56" i="55"/>
  <c r="D57" i="55"/>
  <c r="C57" i="55"/>
  <c r="H57" i="55"/>
  <c r="M57" i="55"/>
  <c r="S57" i="55"/>
  <c r="R57" i="55"/>
  <c r="T57" i="55"/>
  <c r="U57" i="55"/>
  <c r="V57" i="55"/>
  <c r="X57" i="55"/>
  <c r="Z57" i="55"/>
  <c r="D58" i="55"/>
  <c r="C58" i="55"/>
  <c r="H58" i="55"/>
  <c r="M58" i="55"/>
  <c r="S58" i="55"/>
  <c r="R58" i="55"/>
  <c r="T58" i="55"/>
  <c r="U58" i="55"/>
  <c r="V58" i="55"/>
  <c r="X58" i="55"/>
  <c r="Z58" i="55"/>
  <c r="D59" i="55"/>
  <c r="C59" i="55"/>
  <c r="H59" i="55"/>
  <c r="M59" i="55"/>
  <c r="W59" i="55"/>
  <c r="S59" i="55"/>
  <c r="R59" i="55"/>
  <c r="T59" i="55"/>
  <c r="U59" i="55"/>
  <c r="V59" i="55"/>
  <c r="X59" i="55"/>
  <c r="Z59" i="55"/>
  <c r="D60" i="55"/>
  <c r="H60" i="55"/>
  <c r="C60" i="55"/>
  <c r="M60" i="55"/>
  <c r="W60" i="55"/>
  <c r="S60" i="55"/>
  <c r="R60" i="55"/>
  <c r="T60" i="55"/>
  <c r="U60" i="55"/>
  <c r="V60" i="55"/>
  <c r="X60" i="55"/>
  <c r="Z60" i="55"/>
  <c r="D61" i="55"/>
  <c r="H61" i="55"/>
  <c r="C61" i="55"/>
  <c r="M61" i="55"/>
  <c r="S61" i="55"/>
  <c r="T61" i="55"/>
  <c r="R61" i="55"/>
  <c r="U61" i="55"/>
  <c r="V61" i="55"/>
  <c r="X61" i="55"/>
  <c r="Z61" i="55"/>
  <c r="D62" i="55"/>
  <c r="H62" i="55"/>
  <c r="C62" i="55"/>
  <c r="M62" i="55"/>
  <c r="S62" i="55"/>
  <c r="T62" i="55"/>
  <c r="U62" i="55"/>
  <c r="V62" i="55"/>
  <c r="X62" i="55"/>
  <c r="Z62" i="55"/>
  <c r="D63" i="55"/>
  <c r="C63" i="55"/>
  <c r="H63" i="55"/>
  <c r="M63" i="55"/>
  <c r="S63" i="55"/>
  <c r="T63" i="55"/>
  <c r="U63" i="55"/>
  <c r="V63" i="55"/>
  <c r="X63" i="55"/>
  <c r="Z63" i="55"/>
  <c r="F64" i="55"/>
  <c r="J64" i="55"/>
  <c r="D65" i="55"/>
  <c r="H65" i="55"/>
  <c r="M65" i="55"/>
  <c r="S65" i="55"/>
  <c r="T65" i="55"/>
  <c r="U65" i="55"/>
  <c r="V65" i="55"/>
  <c r="X65" i="55"/>
  <c r="Y65" i="55"/>
  <c r="Z65" i="55"/>
  <c r="AA65" i="55"/>
  <c r="E66" i="55"/>
  <c r="E64" i="55"/>
  <c r="F66" i="55"/>
  <c r="G66" i="55"/>
  <c r="Z66" i="55"/>
  <c r="I66" i="55"/>
  <c r="I64" i="55"/>
  <c r="J66" i="55"/>
  <c r="K66" i="55"/>
  <c r="K64" i="55"/>
  <c r="L66" i="55"/>
  <c r="L64" i="55"/>
  <c r="N66" i="55"/>
  <c r="N64" i="55"/>
  <c r="X64" i="55"/>
  <c r="O66" i="55"/>
  <c r="O64" i="55"/>
  <c r="P66" i="55"/>
  <c r="P64" i="55"/>
  <c r="Q66" i="55"/>
  <c r="Q64" i="55"/>
  <c r="X66" i="55"/>
  <c r="D67" i="55"/>
  <c r="H67" i="55"/>
  <c r="M67" i="55"/>
  <c r="S67" i="55"/>
  <c r="T67" i="55"/>
  <c r="U67" i="55"/>
  <c r="V67" i="55"/>
  <c r="X67" i="55"/>
  <c r="D68" i="55"/>
  <c r="H68" i="55"/>
  <c r="C68" i="55"/>
  <c r="M68" i="55"/>
  <c r="S68" i="55"/>
  <c r="T68" i="55"/>
  <c r="U68" i="55"/>
  <c r="V68" i="55"/>
  <c r="R68" i="55"/>
  <c r="X68" i="55"/>
  <c r="Y68" i="55"/>
  <c r="Z68" i="55"/>
  <c r="D69" i="55"/>
  <c r="H69" i="55"/>
  <c r="M69" i="55"/>
  <c r="S69" i="55"/>
  <c r="T69" i="55"/>
  <c r="U69" i="55"/>
  <c r="U66" i="55"/>
  <c r="V69" i="55"/>
  <c r="X69" i="55"/>
  <c r="D70" i="55"/>
  <c r="C70" i="55"/>
  <c r="H70" i="55"/>
  <c r="M70" i="55"/>
  <c r="S70" i="55"/>
  <c r="R70" i="55"/>
  <c r="T70" i="55"/>
  <c r="U70" i="55"/>
  <c r="V70" i="55"/>
  <c r="X70" i="55"/>
  <c r="D71" i="55"/>
  <c r="H71" i="55"/>
  <c r="C71" i="55"/>
  <c r="M71" i="55"/>
  <c r="W71" i="55"/>
  <c r="S71" i="55"/>
  <c r="T71" i="55"/>
  <c r="R71" i="55"/>
  <c r="U71" i="55"/>
  <c r="V71" i="55"/>
  <c r="X71" i="55"/>
  <c r="C72" i="55"/>
  <c r="D72" i="55"/>
  <c r="H72" i="55"/>
  <c r="M72" i="55"/>
  <c r="S72" i="55"/>
  <c r="T72" i="55"/>
  <c r="U72" i="55"/>
  <c r="V72" i="55"/>
  <c r="D73" i="55"/>
  <c r="H73" i="55"/>
  <c r="C73" i="55"/>
  <c r="M73" i="55"/>
  <c r="W73" i="55"/>
  <c r="S73" i="55"/>
  <c r="T73" i="55"/>
  <c r="R73" i="55"/>
  <c r="U73" i="55"/>
  <c r="V73" i="55"/>
  <c r="X73" i="55"/>
  <c r="Z73" i="55"/>
  <c r="D74" i="55"/>
  <c r="H74" i="55"/>
  <c r="C74" i="55"/>
  <c r="M74" i="55"/>
  <c r="S74" i="55"/>
  <c r="T74" i="55"/>
  <c r="U74" i="55"/>
  <c r="V74" i="55"/>
  <c r="X74" i="55"/>
  <c r="Z74" i="55"/>
  <c r="D75" i="55"/>
  <c r="C75" i="55"/>
  <c r="H75" i="55"/>
  <c r="M75" i="55"/>
  <c r="S75" i="55"/>
  <c r="R75" i="55"/>
  <c r="T75" i="55"/>
  <c r="U75" i="55"/>
  <c r="V75" i="55"/>
  <c r="X75" i="55"/>
  <c r="Y75" i="55"/>
  <c r="Z75" i="55"/>
  <c r="D76" i="55"/>
  <c r="C76" i="55"/>
  <c r="H76" i="55"/>
  <c r="M76" i="55"/>
  <c r="W76" i="55"/>
  <c r="S76" i="55"/>
  <c r="T76" i="55"/>
  <c r="U76" i="55"/>
  <c r="V76" i="55"/>
  <c r="X76" i="55"/>
  <c r="D77" i="55"/>
  <c r="C77" i="55"/>
  <c r="H77" i="55"/>
  <c r="M77" i="55"/>
  <c r="S77" i="55"/>
  <c r="R77" i="55"/>
  <c r="T77" i="55"/>
  <c r="U77" i="55"/>
  <c r="V77" i="55"/>
  <c r="D78" i="55"/>
  <c r="C78" i="55"/>
  <c r="H78" i="55"/>
  <c r="M78" i="55"/>
  <c r="S78" i="55"/>
  <c r="T78" i="55"/>
  <c r="U78" i="55"/>
  <c r="V78" i="55"/>
  <c r="D79" i="55"/>
  <c r="H79" i="55"/>
  <c r="M79" i="55"/>
  <c r="S79" i="55"/>
  <c r="T79" i="55"/>
  <c r="U79" i="55"/>
  <c r="V79" i="55"/>
  <c r="X79" i="55"/>
  <c r="D80" i="55"/>
  <c r="C80" i="55"/>
  <c r="H80" i="55"/>
  <c r="M80" i="55"/>
  <c r="W80" i="55"/>
  <c r="S80" i="55"/>
  <c r="T80" i="55"/>
  <c r="U80" i="55"/>
  <c r="V80" i="55"/>
  <c r="X80" i="55"/>
  <c r="Z80" i="55"/>
  <c r="D81" i="55"/>
  <c r="C81" i="55"/>
  <c r="H81" i="55"/>
  <c r="M81" i="55"/>
  <c r="S81" i="55"/>
  <c r="T81" i="55"/>
  <c r="U81" i="55"/>
  <c r="V81" i="55"/>
  <c r="D83" i="55"/>
  <c r="C83" i="55"/>
  <c r="H83" i="55"/>
  <c r="M83" i="55"/>
  <c r="S83" i="55"/>
  <c r="T83" i="55"/>
  <c r="U83" i="55"/>
  <c r="V83" i="55"/>
  <c r="X83" i="55"/>
  <c r="AA83" i="55"/>
  <c r="E84" i="55"/>
  <c r="E82" i="55"/>
  <c r="F84" i="55"/>
  <c r="F82" i="55"/>
  <c r="G84" i="55"/>
  <c r="G82" i="55"/>
  <c r="I84" i="55"/>
  <c r="I82" i="55"/>
  <c r="J84" i="55"/>
  <c r="J82" i="55"/>
  <c r="K84" i="55"/>
  <c r="K82" i="55"/>
  <c r="L84" i="55"/>
  <c r="L82" i="55"/>
  <c r="N84" i="55"/>
  <c r="X84" i="55"/>
  <c r="N82" i="55"/>
  <c r="O84" i="55"/>
  <c r="O82" i="55"/>
  <c r="P84" i="55"/>
  <c r="P82" i="55"/>
  <c r="Z82" i="55"/>
  <c r="Q84" i="55"/>
  <c r="Q82" i="55"/>
  <c r="AA82" i="55"/>
  <c r="D85" i="55"/>
  <c r="H85" i="55"/>
  <c r="M85" i="55"/>
  <c r="S85" i="55"/>
  <c r="T85" i="55"/>
  <c r="U85" i="55"/>
  <c r="V85" i="55"/>
  <c r="X85" i="55"/>
  <c r="D86" i="55"/>
  <c r="C86" i="55"/>
  <c r="H86" i="55"/>
  <c r="M86" i="55"/>
  <c r="S86" i="55"/>
  <c r="R86" i="55"/>
  <c r="T86" i="55"/>
  <c r="U86" i="55"/>
  <c r="V86" i="55"/>
  <c r="X86" i="55"/>
  <c r="D87" i="55"/>
  <c r="C87" i="55"/>
  <c r="H87" i="55"/>
  <c r="M87" i="55"/>
  <c r="W87" i="55"/>
  <c r="S87" i="55"/>
  <c r="R87" i="55"/>
  <c r="T87" i="55"/>
  <c r="U87" i="55"/>
  <c r="V87" i="55"/>
  <c r="X87" i="55"/>
  <c r="C88" i="55"/>
  <c r="D88" i="55"/>
  <c r="H88" i="55"/>
  <c r="M88" i="55"/>
  <c r="W88" i="55"/>
  <c r="S88" i="55"/>
  <c r="T88" i="55"/>
  <c r="U88" i="55"/>
  <c r="V88" i="55"/>
  <c r="X88" i="55"/>
  <c r="D89" i="55"/>
  <c r="C89" i="55"/>
  <c r="H89" i="55"/>
  <c r="M89" i="55"/>
  <c r="S89" i="55"/>
  <c r="T89" i="55"/>
  <c r="U89" i="55"/>
  <c r="V89" i="55"/>
  <c r="X89" i="55"/>
  <c r="D90" i="55"/>
  <c r="H90" i="55"/>
  <c r="C90" i="55"/>
  <c r="M90" i="55"/>
  <c r="S90" i="55"/>
  <c r="T90" i="55"/>
  <c r="R90" i="55"/>
  <c r="U90" i="55"/>
  <c r="V90" i="55"/>
  <c r="D91" i="55"/>
  <c r="C91" i="55"/>
  <c r="H91" i="55"/>
  <c r="M91" i="55"/>
  <c r="S91" i="55"/>
  <c r="T91" i="55"/>
  <c r="U91" i="55"/>
  <c r="V91" i="55"/>
  <c r="X91" i="55"/>
  <c r="Z91" i="55"/>
  <c r="D92" i="55"/>
  <c r="C92" i="55"/>
  <c r="H92" i="55"/>
  <c r="M92" i="55"/>
  <c r="W92" i="55"/>
  <c r="S92" i="55"/>
  <c r="R92" i="55"/>
  <c r="T92" i="55"/>
  <c r="U92" i="55"/>
  <c r="V92" i="55"/>
  <c r="X92" i="55"/>
  <c r="D93" i="55"/>
  <c r="H93" i="55"/>
  <c r="C93" i="55"/>
  <c r="W93" i="55"/>
  <c r="M93" i="55"/>
  <c r="S93" i="55"/>
  <c r="R93" i="55"/>
  <c r="T93" i="55"/>
  <c r="U93" i="55"/>
  <c r="V93" i="55"/>
  <c r="X93" i="55"/>
  <c r="Z93" i="55"/>
  <c r="D94" i="55"/>
  <c r="H94" i="55"/>
  <c r="C94" i="55"/>
  <c r="W94" i="55"/>
  <c r="M94" i="55"/>
  <c r="S94" i="55"/>
  <c r="R94" i="55"/>
  <c r="T94" i="55"/>
  <c r="U94" i="55"/>
  <c r="V94" i="55"/>
  <c r="X94" i="55"/>
  <c r="D95" i="55"/>
  <c r="C95" i="55"/>
  <c r="H95" i="55"/>
  <c r="M95" i="55"/>
  <c r="S95" i="55"/>
  <c r="R95" i="55"/>
  <c r="T95" i="55"/>
  <c r="U95" i="55"/>
  <c r="V95" i="55"/>
  <c r="X95" i="55"/>
  <c r="C96" i="55"/>
  <c r="D96" i="55"/>
  <c r="H96" i="55"/>
  <c r="M96" i="55"/>
  <c r="S96" i="55"/>
  <c r="T96" i="55"/>
  <c r="U96" i="55"/>
  <c r="V96" i="55"/>
  <c r="X96" i="55"/>
  <c r="D97" i="55"/>
  <c r="C97" i="55"/>
  <c r="H97" i="55"/>
  <c r="M97" i="55"/>
  <c r="W97" i="55"/>
  <c r="S97" i="55"/>
  <c r="T97" i="55"/>
  <c r="U97" i="55"/>
  <c r="V97" i="55"/>
  <c r="X97" i="55"/>
  <c r="D98" i="55"/>
  <c r="H98" i="55"/>
  <c r="C98" i="55"/>
  <c r="M98" i="55"/>
  <c r="S98" i="55"/>
  <c r="T98" i="55"/>
  <c r="R98" i="55"/>
  <c r="U98" i="55"/>
  <c r="V98" i="55"/>
  <c r="X98" i="55"/>
  <c r="Z98" i="55"/>
  <c r="D99" i="55"/>
  <c r="H99" i="55"/>
  <c r="C99" i="55"/>
  <c r="M99" i="55"/>
  <c r="S99" i="55"/>
  <c r="T99" i="55"/>
  <c r="R99" i="55"/>
  <c r="U99" i="55"/>
  <c r="V99" i="55"/>
  <c r="X99" i="55"/>
  <c r="F100" i="55"/>
  <c r="N100" i="55"/>
  <c r="D101" i="55"/>
  <c r="H101" i="55"/>
  <c r="M101" i="55"/>
  <c r="S101" i="55"/>
  <c r="T101" i="55"/>
  <c r="U101" i="55"/>
  <c r="V101" i="55"/>
  <c r="X101" i="55"/>
  <c r="Y101" i="55"/>
  <c r="AA101" i="55"/>
  <c r="E102" i="55"/>
  <c r="F102" i="55"/>
  <c r="G102" i="55"/>
  <c r="G100" i="55"/>
  <c r="I102" i="55"/>
  <c r="I100" i="55"/>
  <c r="J102" i="55"/>
  <c r="J100" i="55"/>
  <c r="K102" i="55"/>
  <c r="K100" i="55"/>
  <c r="L102" i="55"/>
  <c r="L100" i="55"/>
  <c r="N102" i="55"/>
  <c r="O102" i="55"/>
  <c r="O100" i="55"/>
  <c r="Y100" i="55"/>
  <c r="P102" i="55"/>
  <c r="P100" i="55"/>
  <c r="Q102" i="55"/>
  <c r="Q100" i="55"/>
  <c r="AA100" i="55"/>
  <c r="D103" i="55"/>
  <c r="H103" i="55"/>
  <c r="M103" i="55"/>
  <c r="S103" i="55"/>
  <c r="T103" i="55"/>
  <c r="U103" i="55"/>
  <c r="V103" i="55"/>
  <c r="X103" i="55"/>
  <c r="D104" i="55"/>
  <c r="C104" i="55"/>
  <c r="W104" i="55"/>
  <c r="H104" i="55"/>
  <c r="M104" i="55"/>
  <c r="S104" i="55"/>
  <c r="T104" i="55"/>
  <c r="R104" i="55"/>
  <c r="U104" i="55"/>
  <c r="V104" i="55"/>
  <c r="X104" i="55"/>
  <c r="D105" i="55"/>
  <c r="H105" i="55"/>
  <c r="C105" i="55"/>
  <c r="M105" i="55"/>
  <c r="W105" i="55"/>
  <c r="S105" i="55"/>
  <c r="T105" i="55"/>
  <c r="R105" i="55"/>
  <c r="U105" i="55"/>
  <c r="V105" i="55"/>
  <c r="X105" i="55"/>
  <c r="C106" i="55"/>
  <c r="D106" i="55"/>
  <c r="H106" i="55"/>
  <c r="M106" i="55"/>
  <c r="S106" i="55"/>
  <c r="T106" i="55"/>
  <c r="U106" i="55"/>
  <c r="V106" i="55"/>
  <c r="X106" i="55"/>
  <c r="C107" i="55"/>
  <c r="W107" i="55"/>
  <c r="D107" i="55"/>
  <c r="H107" i="55"/>
  <c r="M107" i="55"/>
  <c r="S107" i="55"/>
  <c r="T107" i="55"/>
  <c r="U107" i="55"/>
  <c r="V107" i="55"/>
  <c r="R107" i="55"/>
  <c r="X107" i="55"/>
  <c r="D108" i="55"/>
  <c r="H108" i="55"/>
  <c r="C108" i="55"/>
  <c r="M108" i="55"/>
  <c r="S108" i="55"/>
  <c r="T108" i="55"/>
  <c r="R108" i="55"/>
  <c r="U108" i="55"/>
  <c r="V108" i="55"/>
  <c r="C109" i="55"/>
  <c r="W109" i="55"/>
  <c r="D109" i="55"/>
  <c r="H109" i="55"/>
  <c r="M109" i="55"/>
  <c r="S109" i="55"/>
  <c r="T109" i="55"/>
  <c r="U109" i="55"/>
  <c r="V109" i="55"/>
  <c r="R109" i="55"/>
  <c r="X109" i="55"/>
  <c r="D110" i="55"/>
  <c r="C110" i="55"/>
  <c r="W110" i="55"/>
  <c r="H110" i="55"/>
  <c r="M110" i="55"/>
  <c r="S110" i="55"/>
  <c r="R110" i="55"/>
  <c r="T110" i="55"/>
  <c r="U110" i="55"/>
  <c r="V110" i="55"/>
  <c r="X110" i="55"/>
  <c r="D111" i="55"/>
  <c r="H111" i="55"/>
  <c r="C111" i="55"/>
  <c r="M111" i="55"/>
  <c r="S111" i="55"/>
  <c r="T111" i="55"/>
  <c r="R111" i="55"/>
  <c r="U111" i="55"/>
  <c r="U102" i="55"/>
  <c r="U100" i="55"/>
  <c r="V111" i="55"/>
  <c r="X111" i="55"/>
  <c r="D112" i="55"/>
  <c r="C112" i="55"/>
  <c r="W112" i="55"/>
  <c r="H112" i="55"/>
  <c r="M112" i="55"/>
  <c r="S112" i="55"/>
  <c r="R112" i="55"/>
  <c r="T112" i="55"/>
  <c r="U112" i="55"/>
  <c r="V112" i="55"/>
  <c r="X112" i="55"/>
  <c r="D113" i="55"/>
  <c r="C113" i="55"/>
  <c r="W113" i="55"/>
  <c r="H113" i="55"/>
  <c r="M113" i="55"/>
  <c r="S113" i="55"/>
  <c r="T113" i="55"/>
  <c r="R113" i="55"/>
  <c r="U113" i="55"/>
  <c r="V113" i="55"/>
  <c r="X113" i="55"/>
  <c r="D114" i="55"/>
  <c r="H114" i="55"/>
  <c r="C114" i="55"/>
  <c r="M114" i="55"/>
  <c r="S114" i="55"/>
  <c r="T114" i="55"/>
  <c r="R114" i="55"/>
  <c r="U114" i="55"/>
  <c r="V114" i="55"/>
  <c r="D115" i="55"/>
  <c r="C115" i="55"/>
  <c r="W115" i="55"/>
  <c r="H115" i="55"/>
  <c r="M115" i="55"/>
  <c r="S115" i="55"/>
  <c r="T115" i="55"/>
  <c r="R115" i="55"/>
  <c r="U115" i="55"/>
  <c r="V115" i="55"/>
  <c r="X115" i="55"/>
  <c r="D116" i="55"/>
  <c r="H116" i="55"/>
  <c r="C116" i="55"/>
  <c r="W116" i="55"/>
  <c r="M116" i="55"/>
  <c r="S116" i="55"/>
  <c r="T116" i="55"/>
  <c r="R116" i="55"/>
  <c r="U116" i="55"/>
  <c r="V116" i="55"/>
  <c r="X116" i="55"/>
  <c r="D117" i="55"/>
  <c r="C117" i="55"/>
  <c r="H117" i="55"/>
  <c r="M117" i="55"/>
  <c r="S117" i="55"/>
  <c r="T117" i="55"/>
  <c r="U117" i="55"/>
  <c r="V117" i="55"/>
  <c r="O118" i="55"/>
  <c r="D119" i="55"/>
  <c r="H119" i="55"/>
  <c r="M119" i="55"/>
  <c r="S119" i="55"/>
  <c r="T119" i="55"/>
  <c r="R119" i="55"/>
  <c r="U119" i="55"/>
  <c r="V119" i="55"/>
  <c r="X119" i="55"/>
  <c r="Y119" i="55"/>
  <c r="Z119" i="55"/>
  <c r="AA119" i="55"/>
  <c r="E120" i="55"/>
  <c r="E118" i="55"/>
  <c r="F120" i="55"/>
  <c r="F118" i="55"/>
  <c r="G120" i="55"/>
  <c r="G118" i="55"/>
  <c r="I120" i="55"/>
  <c r="I118" i="55"/>
  <c r="J120" i="55"/>
  <c r="J118" i="55"/>
  <c r="Y118" i="55"/>
  <c r="K120" i="55"/>
  <c r="K118" i="55"/>
  <c r="L120" i="55"/>
  <c r="L118" i="55"/>
  <c r="N120" i="55"/>
  <c r="X120" i="55"/>
  <c r="O120" i="55"/>
  <c r="P120" i="55"/>
  <c r="P118" i="55"/>
  <c r="Z118" i="55"/>
  <c r="Q120" i="55"/>
  <c r="Q118" i="55"/>
  <c r="AA118" i="55"/>
  <c r="Z120" i="55"/>
  <c r="C121" i="55"/>
  <c r="D121" i="55"/>
  <c r="H121" i="55"/>
  <c r="M121" i="55"/>
  <c r="S121" i="55"/>
  <c r="T121" i="55"/>
  <c r="U121" i="55"/>
  <c r="V121" i="55"/>
  <c r="X121" i="55"/>
  <c r="D122" i="55"/>
  <c r="H122" i="55"/>
  <c r="M122" i="55"/>
  <c r="S122" i="55"/>
  <c r="T122" i="55"/>
  <c r="R122" i="55"/>
  <c r="U122" i="55"/>
  <c r="V122" i="55"/>
  <c r="V120" i="55"/>
  <c r="X122" i="55"/>
  <c r="Z122" i="55"/>
  <c r="D123" i="55"/>
  <c r="H123" i="55"/>
  <c r="C123" i="55"/>
  <c r="M123" i="55"/>
  <c r="S123" i="55"/>
  <c r="T123" i="55"/>
  <c r="U123" i="55"/>
  <c r="V123" i="55"/>
  <c r="X123" i="55"/>
  <c r="Z123" i="55"/>
  <c r="C124" i="55"/>
  <c r="D124" i="55"/>
  <c r="H124" i="55"/>
  <c r="M124" i="55"/>
  <c r="S124" i="55"/>
  <c r="T124" i="55"/>
  <c r="R124" i="55"/>
  <c r="U124" i="55"/>
  <c r="V124" i="55"/>
  <c r="X124" i="55"/>
  <c r="Z124" i="55"/>
  <c r="D125" i="55"/>
  <c r="H125" i="55"/>
  <c r="C125" i="55"/>
  <c r="M125" i="55"/>
  <c r="S125" i="55"/>
  <c r="T125" i="55"/>
  <c r="U125" i="55"/>
  <c r="V125" i="55"/>
  <c r="X125" i="55"/>
  <c r="D126" i="55"/>
  <c r="C126" i="55"/>
  <c r="H126" i="55"/>
  <c r="M126" i="55"/>
  <c r="S126" i="55"/>
  <c r="R126" i="55"/>
  <c r="T126" i="55"/>
  <c r="U126" i="55"/>
  <c r="V126" i="55"/>
  <c r="C127" i="55"/>
  <c r="D127" i="55"/>
  <c r="H127" i="55"/>
  <c r="M127" i="55"/>
  <c r="S127" i="55"/>
  <c r="T127" i="55"/>
  <c r="R127" i="55"/>
  <c r="U127" i="55"/>
  <c r="V127" i="55"/>
  <c r="X127" i="55"/>
  <c r="Z127" i="55"/>
  <c r="D128" i="55"/>
  <c r="H128" i="55"/>
  <c r="C128" i="55"/>
  <c r="M128" i="55"/>
  <c r="S128" i="55"/>
  <c r="T128" i="55"/>
  <c r="U128" i="55"/>
  <c r="V128" i="55"/>
  <c r="X128" i="55"/>
  <c r="Z128" i="55"/>
  <c r="C129" i="55"/>
  <c r="D129" i="55"/>
  <c r="H129" i="55"/>
  <c r="M129" i="55"/>
  <c r="S129" i="55"/>
  <c r="T129" i="55"/>
  <c r="R129" i="55"/>
  <c r="U129" i="55"/>
  <c r="V129" i="55"/>
  <c r="X129" i="55"/>
  <c r="Z129" i="55"/>
  <c r="D130" i="55"/>
  <c r="H130" i="55"/>
  <c r="C130" i="55"/>
  <c r="M130" i="55"/>
  <c r="S130" i="55"/>
  <c r="T130" i="55"/>
  <c r="U130" i="55"/>
  <c r="V130" i="55"/>
  <c r="X130" i="55"/>
  <c r="Z130" i="55"/>
  <c r="C131" i="55"/>
  <c r="D131" i="55"/>
  <c r="H131" i="55"/>
  <c r="M131" i="55"/>
  <c r="S131" i="55"/>
  <c r="T131" i="55"/>
  <c r="R131" i="55"/>
  <c r="U131" i="55"/>
  <c r="V131" i="55"/>
  <c r="X131" i="55"/>
  <c r="D132" i="55"/>
  <c r="C132" i="55"/>
  <c r="H132" i="55"/>
  <c r="M132" i="55"/>
  <c r="S132" i="55"/>
  <c r="R132" i="55"/>
  <c r="T132" i="55"/>
  <c r="U132" i="55"/>
  <c r="V132" i="55"/>
  <c r="X132" i="55"/>
  <c r="D133" i="55"/>
  <c r="H133" i="55"/>
  <c r="M133" i="55"/>
  <c r="S133" i="55"/>
  <c r="T133" i="55"/>
  <c r="R133" i="55"/>
  <c r="U133" i="55"/>
  <c r="V133" i="55"/>
  <c r="X133" i="55"/>
  <c r="Z133" i="55"/>
  <c r="D134" i="55"/>
  <c r="H134" i="55"/>
  <c r="M134" i="55"/>
  <c r="S134" i="55"/>
  <c r="T134" i="55"/>
  <c r="U134" i="55"/>
  <c r="V134" i="55"/>
  <c r="X134" i="55"/>
  <c r="Z134" i="55"/>
  <c r="D135" i="55"/>
  <c r="H135" i="55"/>
  <c r="C135" i="55"/>
  <c r="M135" i="55"/>
  <c r="S135" i="55"/>
  <c r="T135" i="55"/>
  <c r="U135" i="55"/>
  <c r="V135" i="55"/>
  <c r="L136" i="55"/>
  <c r="D137" i="55"/>
  <c r="C137" i="55"/>
  <c r="W137" i="55"/>
  <c r="H137" i="55"/>
  <c r="M137" i="55"/>
  <c r="S137" i="55"/>
  <c r="T137" i="55"/>
  <c r="U137" i="55"/>
  <c r="V137" i="55"/>
  <c r="X137" i="55"/>
  <c r="AA137" i="55"/>
  <c r="E138" i="55"/>
  <c r="E136" i="55"/>
  <c r="F138" i="55"/>
  <c r="F136" i="55"/>
  <c r="G138" i="55"/>
  <c r="G136" i="55"/>
  <c r="I138" i="55"/>
  <c r="I136" i="55"/>
  <c r="J138" i="55"/>
  <c r="J136" i="55"/>
  <c r="K138" i="55"/>
  <c r="K136" i="55"/>
  <c r="L138" i="55"/>
  <c r="N138" i="55"/>
  <c r="O138" i="55"/>
  <c r="O136" i="55"/>
  <c r="P138" i="55"/>
  <c r="P136" i="55"/>
  <c r="Q138" i="55"/>
  <c r="Q136" i="55"/>
  <c r="AA136" i="55"/>
  <c r="D139" i="55"/>
  <c r="C139" i="55"/>
  <c r="W139" i="55"/>
  <c r="H139" i="55"/>
  <c r="M139" i="55"/>
  <c r="S139" i="55"/>
  <c r="R139" i="55"/>
  <c r="T139" i="55"/>
  <c r="U139" i="55"/>
  <c r="V139" i="55"/>
  <c r="X139" i="55"/>
  <c r="D140" i="55"/>
  <c r="C140" i="55"/>
  <c r="H140" i="55"/>
  <c r="M140" i="55"/>
  <c r="S140" i="55"/>
  <c r="R140" i="55"/>
  <c r="T140" i="55"/>
  <c r="U140" i="55"/>
  <c r="V140" i="55"/>
  <c r="W140" i="55"/>
  <c r="X140" i="55"/>
  <c r="D141" i="55"/>
  <c r="H141" i="55"/>
  <c r="M141" i="55"/>
  <c r="M138" i="55"/>
  <c r="S141" i="55"/>
  <c r="T141" i="55"/>
  <c r="U141" i="55"/>
  <c r="V141" i="55"/>
  <c r="X141" i="55"/>
  <c r="D142" i="55"/>
  <c r="C142" i="55"/>
  <c r="W142" i="55"/>
  <c r="H142" i="55"/>
  <c r="M142" i="55"/>
  <c r="S142" i="55"/>
  <c r="T142" i="55"/>
  <c r="U142" i="55"/>
  <c r="V142" i="55"/>
  <c r="X142" i="55"/>
  <c r="D143" i="55"/>
  <c r="C143" i="55"/>
  <c r="W143" i="55"/>
  <c r="H143" i="55"/>
  <c r="M143" i="55"/>
  <c r="S143" i="55"/>
  <c r="T143" i="55"/>
  <c r="R143" i="55"/>
  <c r="U143" i="55"/>
  <c r="V143" i="55"/>
  <c r="X143" i="55"/>
  <c r="D144" i="55"/>
  <c r="C144" i="55"/>
  <c r="H144" i="55"/>
  <c r="M144" i="55"/>
  <c r="S144" i="55"/>
  <c r="T144" i="55"/>
  <c r="U144" i="55"/>
  <c r="V144" i="55"/>
  <c r="D145" i="55"/>
  <c r="C145" i="55"/>
  <c r="H145" i="55"/>
  <c r="M145" i="55"/>
  <c r="S145" i="55"/>
  <c r="R145" i="55"/>
  <c r="T145" i="55"/>
  <c r="U145" i="55"/>
  <c r="V145" i="55"/>
  <c r="X145" i="55"/>
  <c r="D146" i="55"/>
  <c r="C146" i="55"/>
  <c r="H146" i="55"/>
  <c r="M146" i="55"/>
  <c r="S146" i="55"/>
  <c r="R146" i="55"/>
  <c r="T146" i="55"/>
  <c r="U146" i="55"/>
  <c r="V146" i="55"/>
  <c r="W146" i="55"/>
  <c r="X146" i="55"/>
  <c r="D147" i="55"/>
  <c r="H147" i="55"/>
  <c r="M147" i="55"/>
  <c r="S147" i="55"/>
  <c r="T147" i="55"/>
  <c r="U147" i="55"/>
  <c r="V147" i="55"/>
  <c r="X147" i="55"/>
  <c r="D148" i="55"/>
  <c r="C148" i="55"/>
  <c r="H148" i="55"/>
  <c r="M148" i="55"/>
  <c r="S148" i="55"/>
  <c r="T148" i="55"/>
  <c r="R148" i="55"/>
  <c r="U148" i="55"/>
  <c r="U138" i="55"/>
  <c r="U136" i="55"/>
  <c r="V148" i="55"/>
  <c r="X148" i="55"/>
  <c r="C149" i="55"/>
  <c r="D149" i="55"/>
  <c r="H149" i="55"/>
  <c r="M149" i="55"/>
  <c r="W149" i="55"/>
  <c r="S149" i="55"/>
  <c r="T149" i="55"/>
  <c r="U149" i="55"/>
  <c r="R149" i="55"/>
  <c r="V149" i="55"/>
  <c r="X149" i="55"/>
  <c r="C150" i="55"/>
  <c r="W150" i="55"/>
  <c r="D150" i="55"/>
  <c r="H150" i="55"/>
  <c r="M150" i="55"/>
  <c r="S150" i="55"/>
  <c r="T150" i="55"/>
  <c r="U150" i="55"/>
  <c r="V150" i="55"/>
  <c r="R150" i="55"/>
  <c r="X150" i="55"/>
  <c r="D151" i="55"/>
  <c r="H151" i="55"/>
  <c r="M151" i="55"/>
  <c r="S151" i="55"/>
  <c r="T151" i="55"/>
  <c r="U151" i="55"/>
  <c r="V151" i="55"/>
  <c r="X151" i="55"/>
  <c r="D152" i="55"/>
  <c r="H152" i="55"/>
  <c r="M152" i="55"/>
  <c r="S152" i="55"/>
  <c r="T152" i="55"/>
  <c r="U152" i="55"/>
  <c r="V152" i="55"/>
  <c r="X152" i="55"/>
  <c r="D153" i="55"/>
  <c r="H153" i="55"/>
  <c r="M153" i="55"/>
  <c r="S153" i="55"/>
  <c r="T153" i="55"/>
  <c r="U153" i="55"/>
  <c r="V153" i="55"/>
  <c r="X153" i="55"/>
  <c r="E154" i="55"/>
  <c r="G154" i="55"/>
  <c r="O154" i="55"/>
  <c r="P154" i="55"/>
  <c r="D155" i="55"/>
  <c r="H155" i="55"/>
  <c r="M155" i="55"/>
  <c r="S155" i="55"/>
  <c r="T155" i="55"/>
  <c r="U155" i="55"/>
  <c r="V155" i="55"/>
  <c r="R155" i="55"/>
  <c r="X155" i="55"/>
  <c r="AA155" i="55"/>
  <c r="E156" i="55"/>
  <c r="F156" i="55"/>
  <c r="F154" i="55"/>
  <c r="G156" i="55"/>
  <c r="I156" i="55"/>
  <c r="I154" i="55"/>
  <c r="J156" i="55"/>
  <c r="J154" i="55"/>
  <c r="K156" i="55"/>
  <c r="K154" i="55"/>
  <c r="L156" i="55"/>
  <c r="L154" i="55"/>
  <c r="N156" i="55"/>
  <c r="O156" i="55"/>
  <c r="P156" i="55"/>
  <c r="Q156" i="55"/>
  <c r="Q154" i="55"/>
  <c r="AA154" i="55"/>
  <c r="C157" i="55"/>
  <c r="D157" i="55"/>
  <c r="H157" i="55"/>
  <c r="M157" i="55"/>
  <c r="W157" i="55"/>
  <c r="S157" i="55"/>
  <c r="T157" i="55"/>
  <c r="U157" i="55"/>
  <c r="R157" i="55"/>
  <c r="V157" i="55"/>
  <c r="X157" i="55"/>
  <c r="D158" i="55"/>
  <c r="H158" i="55"/>
  <c r="M158" i="55"/>
  <c r="S158" i="55"/>
  <c r="R158" i="55"/>
  <c r="T158" i="55"/>
  <c r="U158" i="55"/>
  <c r="V158" i="55"/>
  <c r="X158" i="55"/>
  <c r="D159" i="55"/>
  <c r="C159" i="55"/>
  <c r="H159" i="55"/>
  <c r="M159" i="55"/>
  <c r="W159" i="55"/>
  <c r="S159" i="55"/>
  <c r="T159" i="55"/>
  <c r="R159" i="55"/>
  <c r="U159" i="55"/>
  <c r="V159" i="55"/>
  <c r="X159" i="55"/>
  <c r="D160" i="55"/>
  <c r="C160" i="55"/>
  <c r="H160" i="55"/>
  <c r="M160" i="55"/>
  <c r="S160" i="55"/>
  <c r="T160" i="55"/>
  <c r="U160" i="55"/>
  <c r="V160" i="55"/>
  <c r="X160" i="55"/>
  <c r="D161" i="55"/>
  <c r="H161" i="55"/>
  <c r="M161" i="55"/>
  <c r="S161" i="55"/>
  <c r="T161" i="55"/>
  <c r="U161" i="55"/>
  <c r="V161" i="55"/>
  <c r="R161" i="55"/>
  <c r="X161" i="55"/>
  <c r="D162" i="55"/>
  <c r="H162" i="55"/>
  <c r="C162" i="55"/>
  <c r="M162" i="55"/>
  <c r="S162" i="55"/>
  <c r="T162" i="55"/>
  <c r="U162" i="55"/>
  <c r="U156" i="55"/>
  <c r="U154" i="55"/>
  <c r="V162" i="55"/>
  <c r="D163" i="55"/>
  <c r="H163" i="55"/>
  <c r="M163" i="55"/>
  <c r="S163" i="55"/>
  <c r="T163" i="55"/>
  <c r="U163" i="55"/>
  <c r="V163" i="55"/>
  <c r="R163" i="55"/>
  <c r="X163" i="55"/>
  <c r="D164" i="55"/>
  <c r="C164" i="55"/>
  <c r="W164" i="55"/>
  <c r="H164" i="55"/>
  <c r="M164" i="55"/>
  <c r="S164" i="55"/>
  <c r="R164" i="55"/>
  <c r="T164" i="55"/>
  <c r="U164" i="55"/>
  <c r="V164" i="55"/>
  <c r="X164" i="55"/>
  <c r="D165" i="55"/>
  <c r="C165" i="55"/>
  <c r="H165" i="55"/>
  <c r="M165" i="55"/>
  <c r="W165" i="55"/>
  <c r="S165" i="55"/>
  <c r="R165" i="55"/>
  <c r="T165" i="55"/>
  <c r="U165" i="55"/>
  <c r="V165" i="55"/>
  <c r="X165" i="55"/>
  <c r="D166" i="55"/>
  <c r="C166" i="55"/>
  <c r="H166" i="55"/>
  <c r="M166" i="55"/>
  <c r="W166" i="55"/>
  <c r="S166" i="55"/>
  <c r="T166" i="55"/>
  <c r="U166" i="55"/>
  <c r="V166" i="55"/>
  <c r="V156" i="55"/>
  <c r="V154" i="55"/>
  <c r="X166" i="55"/>
  <c r="D167" i="55"/>
  <c r="H167" i="55"/>
  <c r="M167" i="55"/>
  <c r="S167" i="55"/>
  <c r="T167" i="55"/>
  <c r="U167" i="55"/>
  <c r="V167" i="55"/>
  <c r="R167" i="55"/>
  <c r="X167" i="55"/>
  <c r="D168" i="55"/>
  <c r="H168" i="55"/>
  <c r="M168" i="55"/>
  <c r="S168" i="55"/>
  <c r="T168" i="55"/>
  <c r="R168" i="55"/>
  <c r="U168" i="55"/>
  <c r="V168" i="55"/>
  <c r="D169" i="55"/>
  <c r="C169" i="55"/>
  <c r="W169" i="55"/>
  <c r="H169" i="55"/>
  <c r="M169" i="55"/>
  <c r="S169" i="55"/>
  <c r="S156" i="55"/>
  <c r="S154" i="55"/>
  <c r="T169" i="55"/>
  <c r="U169" i="55"/>
  <c r="V169" i="55"/>
  <c r="X169" i="55"/>
  <c r="D170" i="55"/>
  <c r="C170" i="55"/>
  <c r="W170" i="55"/>
  <c r="H170" i="55"/>
  <c r="M170" i="55"/>
  <c r="S170" i="55"/>
  <c r="R170" i="55"/>
  <c r="T170" i="55"/>
  <c r="U170" i="55"/>
  <c r="V170" i="55"/>
  <c r="X170" i="55"/>
  <c r="D171" i="55"/>
  <c r="C171" i="55"/>
  <c r="W171" i="55"/>
  <c r="H171" i="55"/>
  <c r="M171" i="55"/>
  <c r="S171" i="55"/>
  <c r="T171" i="55"/>
  <c r="R171" i="55"/>
  <c r="U171" i="55"/>
  <c r="V171" i="55"/>
  <c r="X171" i="55"/>
  <c r="E172" i="55"/>
  <c r="D173" i="55"/>
  <c r="H173" i="55"/>
  <c r="M173" i="55"/>
  <c r="S173" i="55"/>
  <c r="T173" i="55"/>
  <c r="U173" i="55"/>
  <c r="V173" i="55"/>
  <c r="X173" i="55"/>
  <c r="AA173" i="55"/>
  <c r="E174" i="55"/>
  <c r="F174" i="55"/>
  <c r="F172" i="55"/>
  <c r="G174" i="55"/>
  <c r="G172" i="55"/>
  <c r="I174" i="55"/>
  <c r="I172" i="55"/>
  <c r="J174" i="55"/>
  <c r="J172" i="55"/>
  <c r="K174" i="55"/>
  <c r="K172" i="55"/>
  <c r="L174" i="55"/>
  <c r="L172" i="55"/>
  <c r="N174" i="55"/>
  <c r="N172" i="55"/>
  <c r="X172" i="55"/>
  <c r="O174" i="55"/>
  <c r="O172" i="55"/>
  <c r="P174" i="55"/>
  <c r="P172" i="55"/>
  <c r="Q174" i="55"/>
  <c r="Q172" i="55"/>
  <c r="AA172" i="55"/>
  <c r="D175" i="55"/>
  <c r="H175" i="55"/>
  <c r="H174" i="55"/>
  <c r="H172" i="55"/>
  <c r="M175" i="55"/>
  <c r="S175" i="55"/>
  <c r="R175" i="55"/>
  <c r="T175" i="55"/>
  <c r="T174" i="55"/>
  <c r="U175" i="55"/>
  <c r="V175" i="55"/>
  <c r="X175" i="55"/>
  <c r="D176" i="55"/>
  <c r="H176" i="55"/>
  <c r="C176" i="55"/>
  <c r="M176" i="55"/>
  <c r="W176" i="55"/>
  <c r="S176" i="55"/>
  <c r="T176" i="55"/>
  <c r="R176" i="55"/>
  <c r="U176" i="55"/>
  <c r="V176" i="55"/>
  <c r="X176" i="55"/>
  <c r="C177" i="55"/>
  <c r="D177" i="55"/>
  <c r="H177" i="55"/>
  <c r="M177" i="55"/>
  <c r="W177" i="55"/>
  <c r="S177" i="55"/>
  <c r="T177" i="55"/>
  <c r="U177" i="55"/>
  <c r="V177" i="55"/>
  <c r="R177" i="55"/>
  <c r="X177" i="55"/>
  <c r="D178" i="55"/>
  <c r="C178" i="55"/>
  <c r="H178" i="55"/>
  <c r="M178" i="55"/>
  <c r="W178" i="55"/>
  <c r="S178" i="55"/>
  <c r="T178" i="55"/>
  <c r="U178" i="55"/>
  <c r="V178" i="55"/>
  <c r="X178" i="55"/>
  <c r="D179" i="55"/>
  <c r="C179" i="55"/>
  <c r="W179" i="55"/>
  <c r="H179" i="55"/>
  <c r="M179" i="55"/>
  <c r="S179" i="55"/>
  <c r="R179" i="55"/>
  <c r="T179" i="55"/>
  <c r="U179" i="55"/>
  <c r="V179" i="55"/>
  <c r="X179" i="55"/>
  <c r="D180" i="55"/>
  <c r="H180" i="55"/>
  <c r="C180" i="55"/>
  <c r="M180" i="55"/>
  <c r="S180" i="55"/>
  <c r="T180" i="55"/>
  <c r="U180" i="55"/>
  <c r="R180" i="55"/>
  <c r="V180" i="55"/>
  <c r="D181" i="55"/>
  <c r="C181" i="55"/>
  <c r="W181" i="55"/>
  <c r="H181" i="55"/>
  <c r="M181" i="55"/>
  <c r="S181" i="55"/>
  <c r="R181" i="55"/>
  <c r="T181" i="55"/>
  <c r="U181" i="55"/>
  <c r="V181" i="55"/>
  <c r="X181" i="55"/>
  <c r="D182" i="55"/>
  <c r="H182" i="55"/>
  <c r="C182" i="55"/>
  <c r="M182" i="55"/>
  <c r="W182" i="55"/>
  <c r="S182" i="55"/>
  <c r="T182" i="55"/>
  <c r="R182" i="55"/>
  <c r="U182" i="55"/>
  <c r="V182" i="55"/>
  <c r="X182" i="55"/>
  <c r="C183" i="55"/>
  <c r="D183" i="55"/>
  <c r="H183" i="55"/>
  <c r="M183" i="55"/>
  <c r="W183" i="55"/>
  <c r="S183" i="55"/>
  <c r="T183" i="55"/>
  <c r="U183" i="55"/>
  <c r="R183" i="55"/>
  <c r="V183" i="55"/>
  <c r="X183" i="55"/>
  <c r="D184" i="55"/>
  <c r="C184" i="55"/>
  <c r="H184" i="55"/>
  <c r="M184" i="55"/>
  <c r="W184" i="55"/>
  <c r="S184" i="55"/>
  <c r="R184" i="55"/>
  <c r="T184" i="55"/>
  <c r="U184" i="55"/>
  <c r="V184" i="55"/>
  <c r="X184" i="55"/>
  <c r="D185" i="55"/>
  <c r="C185" i="55"/>
  <c r="W185" i="55"/>
  <c r="H185" i="55"/>
  <c r="M185" i="55"/>
  <c r="S185" i="55"/>
  <c r="R185" i="55"/>
  <c r="T185" i="55"/>
  <c r="U185" i="55"/>
  <c r="V185" i="55"/>
  <c r="X185" i="55"/>
  <c r="D186" i="55"/>
  <c r="H186" i="55"/>
  <c r="C186" i="55"/>
  <c r="M186" i="55"/>
  <c r="W186" i="55"/>
  <c r="S186" i="55"/>
  <c r="T186" i="55"/>
  <c r="U186" i="55"/>
  <c r="R186" i="55"/>
  <c r="V186" i="55"/>
  <c r="X186" i="55"/>
  <c r="D187" i="55"/>
  <c r="C187" i="55"/>
  <c r="W187" i="55"/>
  <c r="H187" i="55"/>
  <c r="M187" i="55"/>
  <c r="S187" i="55"/>
  <c r="R187" i="55"/>
  <c r="T187" i="55"/>
  <c r="U187" i="55"/>
  <c r="V187" i="55"/>
  <c r="X187" i="55"/>
  <c r="D188" i="55"/>
  <c r="C188" i="55"/>
  <c r="W188" i="55"/>
  <c r="H188" i="55"/>
  <c r="M188" i="55"/>
  <c r="S188" i="55"/>
  <c r="R188" i="55"/>
  <c r="T188" i="55"/>
  <c r="U188" i="55"/>
  <c r="V188" i="55"/>
  <c r="X188" i="55"/>
  <c r="D189" i="55"/>
  <c r="C189" i="55"/>
  <c r="H189" i="55"/>
  <c r="M189" i="55"/>
  <c r="S189" i="55"/>
  <c r="R189" i="55"/>
  <c r="T189" i="55"/>
  <c r="U189" i="55"/>
  <c r="V189" i="55"/>
  <c r="L190" i="55"/>
  <c r="D191" i="55"/>
  <c r="C191" i="55"/>
  <c r="H191" i="55"/>
  <c r="M191" i="55"/>
  <c r="W191" i="55"/>
  <c r="S191" i="55"/>
  <c r="T191" i="55"/>
  <c r="U191" i="55"/>
  <c r="V191" i="55"/>
  <c r="AA191" i="55"/>
  <c r="E192" i="55"/>
  <c r="E190" i="55"/>
  <c r="F192" i="55"/>
  <c r="F190" i="55"/>
  <c r="G192" i="55"/>
  <c r="G190" i="55"/>
  <c r="I192" i="55"/>
  <c r="I190" i="55"/>
  <c r="J192" i="55"/>
  <c r="J190" i="55"/>
  <c r="K192" i="55"/>
  <c r="K190" i="55"/>
  <c r="L192" i="55"/>
  <c r="N192" i="55"/>
  <c r="N190" i="55"/>
  <c r="X190" i="55"/>
  <c r="O192" i="55"/>
  <c r="O190" i="55"/>
  <c r="P192" i="55"/>
  <c r="P190" i="55"/>
  <c r="Q192" i="55"/>
  <c r="Q190" i="55"/>
  <c r="AA190" i="55"/>
  <c r="D193" i="55"/>
  <c r="C193" i="55"/>
  <c r="H193" i="55"/>
  <c r="M193" i="55"/>
  <c r="S193" i="55"/>
  <c r="T193" i="55"/>
  <c r="U193" i="55"/>
  <c r="V193" i="55"/>
  <c r="X193" i="55"/>
  <c r="D194" i="55"/>
  <c r="C194" i="55"/>
  <c r="H194" i="55"/>
  <c r="M194" i="55"/>
  <c r="S194" i="55"/>
  <c r="R194" i="55"/>
  <c r="T194" i="55"/>
  <c r="U194" i="55"/>
  <c r="V194" i="55"/>
  <c r="X194" i="55"/>
  <c r="D195" i="55"/>
  <c r="H195" i="55"/>
  <c r="C195" i="55"/>
  <c r="W195" i="55"/>
  <c r="M195" i="55"/>
  <c r="S195" i="55"/>
  <c r="R195" i="55"/>
  <c r="T195" i="55"/>
  <c r="U195" i="55"/>
  <c r="V195" i="55"/>
  <c r="X195" i="55"/>
  <c r="D196" i="55"/>
  <c r="C196" i="55"/>
  <c r="W196" i="55"/>
  <c r="H196" i="55"/>
  <c r="M196" i="55"/>
  <c r="S196" i="55"/>
  <c r="T196" i="55"/>
  <c r="U196" i="55"/>
  <c r="V196" i="55"/>
  <c r="X196" i="55"/>
  <c r="D197" i="55"/>
  <c r="C197" i="55"/>
  <c r="H197" i="55"/>
  <c r="M197" i="55"/>
  <c r="S197" i="55"/>
  <c r="R197" i="55"/>
  <c r="T197" i="55"/>
  <c r="U197" i="55"/>
  <c r="V197" i="55"/>
  <c r="X197" i="55"/>
  <c r="D198" i="55"/>
  <c r="H198" i="55"/>
  <c r="C198" i="55"/>
  <c r="M198" i="55"/>
  <c r="S198" i="55"/>
  <c r="T198" i="55"/>
  <c r="R198" i="55"/>
  <c r="U198" i="55"/>
  <c r="V198" i="55"/>
  <c r="D199" i="55"/>
  <c r="C199" i="55"/>
  <c r="H199" i="55"/>
  <c r="M199" i="55"/>
  <c r="S199" i="55"/>
  <c r="R199" i="55"/>
  <c r="T199" i="55"/>
  <c r="U199" i="55"/>
  <c r="V199" i="55"/>
  <c r="X199" i="55"/>
  <c r="D200" i="55"/>
  <c r="C200" i="55"/>
  <c r="W200" i="55"/>
  <c r="H200" i="55"/>
  <c r="M200" i="55"/>
  <c r="S200" i="55"/>
  <c r="R200" i="55"/>
  <c r="T200" i="55"/>
  <c r="U200" i="55"/>
  <c r="V200" i="55"/>
  <c r="X200" i="55"/>
  <c r="D201" i="55"/>
  <c r="H201" i="55"/>
  <c r="C201" i="55"/>
  <c r="M201" i="55"/>
  <c r="W201" i="55"/>
  <c r="S201" i="55"/>
  <c r="T201" i="55"/>
  <c r="U201" i="55"/>
  <c r="R201" i="55"/>
  <c r="V201" i="55"/>
  <c r="X201" i="55"/>
  <c r="D202" i="55"/>
  <c r="C202" i="55"/>
  <c r="W202" i="55"/>
  <c r="H202" i="55"/>
  <c r="M202" i="55"/>
  <c r="S202" i="55"/>
  <c r="T202" i="55"/>
  <c r="U202" i="55"/>
  <c r="V202" i="55"/>
  <c r="R202" i="55"/>
  <c r="X202" i="55"/>
  <c r="D203" i="55"/>
  <c r="H203" i="55"/>
  <c r="C203" i="55"/>
  <c r="M203" i="55"/>
  <c r="S203" i="55"/>
  <c r="T203" i="55"/>
  <c r="R203" i="55"/>
  <c r="U203" i="55"/>
  <c r="V203" i="55"/>
  <c r="D204" i="55"/>
  <c r="C204" i="55"/>
  <c r="H204" i="55"/>
  <c r="M204" i="55"/>
  <c r="S204" i="55"/>
  <c r="T204" i="55"/>
  <c r="R204" i="55"/>
  <c r="U204" i="55"/>
  <c r="V204" i="55"/>
  <c r="D205" i="55"/>
  <c r="C205" i="55"/>
  <c r="W205" i="55"/>
  <c r="H205" i="55"/>
  <c r="M205" i="55"/>
  <c r="S205" i="55"/>
  <c r="T205" i="55"/>
  <c r="U205" i="55"/>
  <c r="V205" i="55"/>
  <c r="V192" i="55"/>
  <c r="V190" i="55"/>
  <c r="X205" i="55"/>
  <c r="D206" i="55"/>
  <c r="H206" i="55"/>
  <c r="M206" i="55"/>
  <c r="S206" i="55"/>
  <c r="T206" i="55"/>
  <c r="R206" i="55"/>
  <c r="U206" i="55"/>
  <c r="V206" i="55"/>
  <c r="X206" i="55"/>
  <c r="D207" i="55"/>
  <c r="C207" i="55"/>
  <c r="H207" i="55"/>
  <c r="M207" i="55"/>
  <c r="S207" i="55"/>
  <c r="T207" i="55"/>
  <c r="U207" i="55"/>
  <c r="V207" i="55"/>
  <c r="J208" i="55"/>
  <c r="O208" i="55"/>
  <c r="D209" i="55"/>
  <c r="C209" i="55"/>
  <c r="H209" i="55"/>
  <c r="M209" i="55"/>
  <c r="S209" i="55"/>
  <c r="R209" i="55"/>
  <c r="T209" i="55"/>
  <c r="U209" i="55"/>
  <c r="V209" i="55"/>
  <c r="X209" i="55"/>
  <c r="AA209" i="55"/>
  <c r="E210" i="55"/>
  <c r="F210" i="55"/>
  <c r="F208" i="55"/>
  <c r="G210" i="55"/>
  <c r="G208" i="55"/>
  <c r="I210" i="55"/>
  <c r="I208" i="55"/>
  <c r="J210" i="55"/>
  <c r="K210" i="55"/>
  <c r="K208" i="55"/>
  <c r="L210" i="55"/>
  <c r="L208" i="55"/>
  <c r="AA208" i="55"/>
  <c r="N210" i="55"/>
  <c r="N208" i="55"/>
  <c r="O210" i="55"/>
  <c r="P210" i="55"/>
  <c r="P208" i="55"/>
  <c r="Q210" i="55"/>
  <c r="Q208" i="55"/>
  <c r="D211" i="55"/>
  <c r="H211" i="55"/>
  <c r="C211" i="55"/>
  <c r="M211" i="55"/>
  <c r="S211" i="55"/>
  <c r="T211" i="55"/>
  <c r="U211" i="55"/>
  <c r="V211" i="55"/>
  <c r="X211" i="55"/>
  <c r="D212" i="55"/>
  <c r="C212" i="55"/>
  <c r="W212" i="55"/>
  <c r="H212" i="55"/>
  <c r="M212" i="55"/>
  <c r="S212" i="55"/>
  <c r="T212" i="55"/>
  <c r="U212" i="55"/>
  <c r="V212" i="55"/>
  <c r="R212" i="55"/>
  <c r="X212" i="55"/>
  <c r="D213" i="55"/>
  <c r="C213" i="55"/>
  <c r="W213" i="55"/>
  <c r="H213" i="55"/>
  <c r="M213" i="55"/>
  <c r="S213" i="55"/>
  <c r="T213" i="55"/>
  <c r="U213" i="55"/>
  <c r="V213" i="55"/>
  <c r="X213" i="55"/>
  <c r="D214" i="55"/>
  <c r="H214" i="55"/>
  <c r="M214" i="55"/>
  <c r="S214" i="55"/>
  <c r="R214" i="55"/>
  <c r="T214" i="55"/>
  <c r="U214" i="55"/>
  <c r="V214" i="55"/>
  <c r="X214" i="55"/>
  <c r="D215" i="55"/>
  <c r="H215" i="55"/>
  <c r="C215" i="55"/>
  <c r="W215" i="55"/>
  <c r="M215" i="55"/>
  <c r="S215" i="55"/>
  <c r="T215" i="55"/>
  <c r="R215" i="55"/>
  <c r="U215" i="55"/>
  <c r="V215" i="55"/>
  <c r="X215" i="55"/>
  <c r="C216" i="55"/>
  <c r="D216" i="55"/>
  <c r="H216" i="55"/>
  <c r="M216" i="55"/>
  <c r="S216" i="55"/>
  <c r="S210" i="55"/>
  <c r="S208" i="55"/>
  <c r="T216" i="55"/>
  <c r="U216" i="55"/>
  <c r="V216" i="55"/>
  <c r="R216" i="55"/>
  <c r="D217" i="55"/>
  <c r="H217" i="55"/>
  <c r="C217" i="55"/>
  <c r="M217" i="55"/>
  <c r="W217" i="55"/>
  <c r="S217" i="55"/>
  <c r="T217" i="55"/>
  <c r="U217" i="55"/>
  <c r="R217" i="55"/>
  <c r="V217" i="55"/>
  <c r="X217" i="55"/>
  <c r="D218" i="55"/>
  <c r="C218" i="55"/>
  <c r="W218" i="55"/>
  <c r="H218" i="55"/>
  <c r="M218" i="55"/>
  <c r="S218" i="55"/>
  <c r="T218" i="55"/>
  <c r="U218" i="55"/>
  <c r="V218" i="55"/>
  <c r="R218" i="55"/>
  <c r="X218" i="55"/>
  <c r="D219" i="55"/>
  <c r="C219" i="55"/>
  <c r="W219" i="55"/>
  <c r="H219" i="55"/>
  <c r="M219" i="55"/>
  <c r="S219" i="55"/>
  <c r="R219" i="55"/>
  <c r="T219" i="55"/>
  <c r="U219" i="55"/>
  <c r="V219" i="55"/>
  <c r="X219" i="55"/>
  <c r="D220" i="55"/>
  <c r="C220" i="55"/>
  <c r="H220" i="55"/>
  <c r="M220" i="55"/>
  <c r="S220" i="55"/>
  <c r="R220" i="55"/>
  <c r="T220" i="55"/>
  <c r="U220" i="55"/>
  <c r="V220" i="55"/>
  <c r="D221" i="55"/>
  <c r="C221" i="55"/>
  <c r="W221" i="55"/>
  <c r="H221" i="55"/>
  <c r="M221" i="55"/>
  <c r="S221" i="55"/>
  <c r="R221" i="55"/>
  <c r="T221" i="55"/>
  <c r="U221" i="55"/>
  <c r="V221" i="55"/>
  <c r="X221" i="55"/>
  <c r="D222" i="55"/>
  <c r="C222" i="55"/>
  <c r="H222" i="55"/>
  <c r="M222" i="55"/>
  <c r="S222" i="55"/>
  <c r="T222" i="55"/>
  <c r="U222" i="55"/>
  <c r="V222" i="55"/>
  <c r="D223" i="55"/>
  <c r="C223" i="55"/>
  <c r="W223" i="55"/>
  <c r="H223" i="55"/>
  <c r="M223" i="55"/>
  <c r="S223" i="55"/>
  <c r="R223" i="55"/>
  <c r="T223" i="55"/>
  <c r="U223" i="55"/>
  <c r="V223" i="55"/>
  <c r="X223" i="55"/>
  <c r="D224" i="55"/>
  <c r="C224" i="55"/>
  <c r="W224" i="55"/>
  <c r="H224" i="55"/>
  <c r="M224" i="55"/>
  <c r="S224" i="55"/>
  <c r="T224" i="55"/>
  <c r="R224" i="55"/>
  <c r="U224" i="55"/>
  <c r="V224" i="55"/>
  <c r="X224" i="55"/>
  <c r="D225" i="55"/>
  <c r="C225" i="55"/>
  <c r="H225" i="55"/>
  <c r="M225" i="55"/>
  <c r="S225" i="55"/>
  <c r="T225" i="55"/>
  <c r="U225" i="55"/>
  <c r="V225" i="55"/>
  <c r="F226" i="55"/>
  <c r="D227" i="55"/>
  <c r="H227" i="55"/>
  <c r="M227" i="55"/>
  <c r="S227" i="55"/>
  <c r="T227" i="55"/>
  <c r="U227" i="55"/>
  <c r="V227" i="55"/>
  <c r="X227" i="55"/>
  <c r="Y227" i="55"/>
  <c r="AA227" i="55"/>
  <c r="E228" i="55"/>
  <c r="F228" i="55"/>
  <c r="G228" i="55"/>
  <c r="G226" i="55"/>
  <c r="I228" i="55"/>
  <c r="I226" i="55"/>
  <c r="J228" i="55"/>
  <c r="J226" i="55"/>
  <c r="K228" i="55"/>
  <c r="K226" i="55"/>
  <c r="L228" i="55"/>
  <c r="L226" i="55"/>
  <c r="N228" i="55"/>
  <c r="N226" i="55"/>
  <c r="O228" i="55"/>
  <c r="O226" i="55"/>
  <c r="Y226" i="55"/>
  <c r="P228" i="55"/>
  <c r="P226" i="55"/>
  <c r="Q228" i="55"/>
  <c r="Q226" i="55"/>
  <c r="D229" i="55"/>
  <c r="H229" i="55"/>
  <c r="C229" i="55"/>
  <c r="M229" i="55"/>
  <c r="S229" i="55"/>
  <c r="T229" i="55"/>
  <c r="T228" i="55"/>
  <c r="U229" i="55"/>
  <c r="V229" i="55"/>
  <c r="X229" i="55"/>
  <c r="D230" i="55"/>
  <c r="H230" i="55"/>
  <c r="C230" i="55"/>
  <c r="M230" i="55"/>
  <c r="S230" i="55"/>
  <c r="T230" i="55"/>
  <c r="U230" i="55"/>
  <c r="V230" i="55"/>
  <c r="X230" i="55"/>
  <c r="D231" i="55"/>
  <c r="H231" i="55"/>
  <c r="M231" i="55"/>
  <c r="S231" i="55"/>
  <c r="T231" i="55"/>
  <c r="U231" i="55"/>
  <c r="R231" i="55"/>
  <c r="V231" i="55"/>
  <c r="X231" i="55"/>
  <c r="D232" i="55"/>
  <c r="C232" i="55"/>
  <c r="H232" i="55"/>
  <c r="M232" i="55"/>
  <c r="W232" i="55"/>
  <c r="S232" i="55"/>
  <c r="R232" i="55"/>
  <c r="T232" i="55"/>
  <c r="U232" i="55"/>
  <c r="V232" i="55"/>
  <c r="X232" i="55"/>
  <c r="D233" i="55"/>
  <c r="C233" i="55"/>
  <c r="W233" i="55"/>
  <c r="H233" i="55"/>
  <c r="M233" i="55"/>
  <c r="S233" i="55"/>
  <c r="R233" i="55"/>
  <c r="T233" i="55"/>
  <c r="U233" i="55"/>
  <c r="V233" i="55"/>
  <c r="X233" i="55"/>
  <c r="D234" i="55"/>
  <c r="H234" i="55"/>
  <c r="H228" i="55"/>
  <c r="H226" i="55"/>
  <c r="M234" i="55"/>
  <c r="S234" i="55"/>
  <c r="T234" i="55"/>
  <c r="U234" i="55"/>
  <c r="V234" i="55"/>
  <c r="D235" i="55"/>
  <c r="C235" i="55"/>
  <c r="W235" i="55"/>
  <c r="H235" i="55"/>
  <c r="M235" i="55"/>
  <c r="S235" i="55"/>
  <c r="T235" i="55"/>
  <c r="U235" i="55"/>
  <c r="V235" i="55"/>
  <c r="X235" i="55"/>
  <c r="D236" i="55"/>
  <c r="H236" i="55"/>
  <c r="C236" i="55"/>
  <c r="M236" i="55"/>
  <c r="W236" i="55"/>
  <c r="S236" i="55"/>
  <c r="T236" i="55"/>
  <c r="R236" i="55"/>
  <c r="U236" i="55"/>
  <c r="V236" i="55"/>
  <c r="X236" i="55"/>
  <c r="D237" i="55"/>
  <c r="C237" i="55"/>
  <c r="H237" i="55"/>
  <c r="M237" i="55"/>
  <c r="W237" i="55"/>
  <c r="S237" i="55"/>
  <c r="T237" i="55"/>
  <c r="U237" i="55"/>
  <c r="V237" i="55"/>
  <c r="X237" i="55"/>
  <c r="D238" i="55"/>
  <c r="C238" i="55"/>
  <c r="H238" i="55"/>
  <c r="M238" i="55"/>
  <c r="S238" i="55"/>
  <c r="R238" i="55"/>
  <c r="T238" i="55"/>
  <c r="U238" i="55"/>
  <c r="V238" i="55"/>
  <c r="D239" i="55"/>
  <c r="C239" i="55"/>
  <c r="H239" i="55"/>
  <c r="M239" i="55"/>
  <c r="S239" i="55"/>
  <c r="T239" i="55"/>
  <c r="U239" i="55"/>
  <c r="V239" i="55"/>
  <c r="X239" i="55"/>
  <c r="D240" i="55"/>
  <c r="C240" i="55"/>
  <c r="H240" i="55"/>
  <c r="M240" i="55"/>
  <c r="S240" i="55"/>
  <c r="R240" i="55"/>
  <c r="T240" i="55"/>
  <c r="U240" i="55"/>
  <c r="V240" i="55"/>
  <c r="D241" i="55"/>
  <c r="C241" i="55"/>
  <c r="H241" i="55"/>
  <c r="M241" i="55"/>
  <c r="S241" i="55"/>
  <c r="R241" i="55"/>
  <c r="T241" i="55"/>
  <c r="U241" i="55"/>
  <c r="V241" i="55"/>
  <c r="X241" i="55"/>
  <c r="D242" i="55"/>
  <c r="C242" i="55"/>
  <c r="H242" i="55"/>
  <c r="M242" i="55"/>
  <c r="W242" i="55"/>
  <c r="S242" i="55"/>
  <c r="R242" i="55"/>
  <c r="T242" i="55"/>
  <c r="U242" i="55"/>
  <c r="V242" i="55"/>
  <c r="X242" i="55"/>
  <c r="D243" i="55"/>
  <c r="H243" i="55"/>
  <c r="C243" i="55"/>
  <c r="M243" i="55"/>
  <c r="S243" i="55"/>
  <c r="T243" i="55"/>
  <c r="R243" i="55"/>
  <c r="U243" i="55"/>
  <c r="V243" i="55"/>
  <c r="D245" i="55"/>
  <c r="H245" i="55"/>
  <c r="M245" i="55"/>
  <c r="S245" i="55"/>
  <c r="T245" i="55"/>
  <c r="U245" i="55"/>
  <c r="V245" i="55"/>
  <c r="X245" i="55"/>
  <c r="AA245" i="55"/>
  <c r="E246" i="55"/>
  <c r="E244" i="55"/>
  <c r="F246" i="55"/>
  <c r="F244" i="55"/>
  <c r="G246" i="55"/>
  <c r="G244" i="55"/>
  <c r="I246" i="55"/>
  <c r="X246" i="55"/>
  <c r="J246" i="55"/>
  <c r="J244" i="55"/>
  <c r="K246" i="55"/>
  <c r="K244" i="55"/>
  <c r="L246" i="55"/>
  <c r="L244" i="55"/>
  <c r="N246" i="55"/>
  <c r="N244" i="55"/>
  <c r="O246" i="55"/>
  <c r="O244" i="55"/>
  <c r="P246" i="55"/>
  <c r="P244" i="55"/>
  <c r="Q246" i="55"/>
  <c r="Q244" i="55"/>
  <c r="AA244" i="55"/>
  <c r="D247" i="55"/>
  <c r="C247" i="55"/>
  <c r="W247" i="55"/>
  <c r="H247" i="55"/>
  <c r="M247" i="55"/>
  <c r="S247" i="55"/>
  <c r="T247" i="55"/>
  <c r="U247" i="55"/>
  <c r="V247" i="55"/>
  <c r="V246" i="55"/>
  <c r="V244" i="55"/>
  <c r="X247" i="55"/>
  <c r="D248" i="55"/>
  <c r="C248" i="55"/>
  <c r="W248" i="55"/>
  <c r="H248" i="55"/>
  <c r="H246" i="55"/>
  <c r="H244" i="55"/>
  <c r="M248" i="55"/>
  <c r="S248" i="55"/>
  <c r="T248" i="55"/>
  <c r="R248" i="55"/>
  <c r="U248" i="55"/>
  <c r="V248" i="55"/>
  <c r="X248" i="55"/>
  <c r="D249" i="55"/>
  <c r="C249" i="55"/>
  <c r="H249" i="55"/>
  <c r="M249" i="55"/>
  <c r="W249" i="55"/>
  <c r="S249" i="55"/>
  <c r="T249" i="55"/>
  <c r="U249" i="55"/>
  <c r="V249" i="55"/>
  <c r="X249" i="55"/>
  <c r="C250" i="55"/>
  <c r="D250" i="55"/>
  <c r="H250" i="55"/>
  <c r="M250" i="55"/>
  <c r="W250" i="55"/>
  <c r="S250" i="55"/>
  <c r="T250" i="55"/>
  <c r="U250" i="55"/>
  <c r="V250" i="55"/>
  <c r="X250" i="55"/>
  <c r="D251" i="55"/>
  <c r="C251" i="55"/>
  <c r="H251" i="55"/>
  <c r="M251" i="55"/>
  <c r="S251" i="55"/>
  <c r="R251" i="55"/>
  <c r="T251" i="55"/>
  <c r="U251" i="55"/>
  <c r="V251" i="55"/>
  <c r="C252" i="55"/>
  <c r="D252" i="55"/>
  <c r="H252" i="55"/>
  <c r="M252" i="55"/>
  <c r="S252" i="55"/>
  <c r="T252" i="55"/>
  <c r="U252" i="55"/>
  <c r="V252" i="55"/>
  <c r="R252" i="55"/>
  <c r="D253" i="55"/>
  <c r="H253" i="55"/>
  <c r="C253" i="55"/>
  <c r="M253" i="55"/>
  <c r="W253" i="55"/>
  <c r="S253" i="55"/>
  <c r="T253" i="55"/>
  <c r="U253" i="55"/>
  <c r="R253" i="55"/>
  <c r="V253" i="55"/>
  <c r="X253" i="55"/>
  <c r="D254" i="55"/>
  <c r="C254" i="55"/>
  <c r="W254" i="55"/>
  <c r="H254" i="55"/>
  <c r="M254" i="55"/>
  <c r="S254" i="55"/>
  <c r="T254" i="55"/>
  <c r="U254" i="55"/>
  <c r="V254" i="55"/>
  <c r="R254" i="55"/>
  <c r="X254" i="55"/>
  <c r="D255" i="55"/>
  <c r="C255" i="55"/>
  <c r="W255" i="55"/>
  <c r="H255" i="55"/>
  <c r="M255" i="55"/>
  <c r="S255" i="55"/>
  <c r="R255" i="55"/>
  <c r="T255" i="55"/>
  <c r="U255" i="55"/>
  <c r="V255" i="55"/>
  <c r="X255" i="55"/>
  <c r="D256" i="55"/>
  <c r="C256" i="55"/>
  <c r="W256" i="55"/>
  <c r="H256" i="55"/>
  <c r="M256" i="55"/>
  <c r="S256" i="55"/>
  <c r="T256" i="55"/>
  <c r="R256" i="55"/>
  <c r="U256" i="55"/>
  <c r="V256" i="55"/>
  <c r="X256" i="55"/>
  <c r="D257" i="55"/>
  <c r="C257" i="55"/>
  <c r="H257" i="55"/>
  <c r="M257" i="55"/>
  <c r="S257" i="55"/>
  <c r="T257" i="55"/>
  <c r="U257" i="55"/>
  <c r="V257" i="55"/>
  <c r="X257" i="55"/>
  <c r="D258" i="55"/>
  <c r="C258" i="55"/>
  <c r="H258" i="55"/>
  <c r="M258" i="55"/>
  <c r="S258" i="55"/>
  <c r="T258" i="55"/>
  <c r="R258" i="55"/>
  <c r="U258" i="55"/>
  <c r="V258" i="55"/>
  <c r="D259" i="55"/>
  <c r="H259" i="55"/>
  <c r="M259" i="55"/>
  <c r="S259" i="55"/>
  <c r="R259" i="55"/>
  <c r="T259" i="55"/>
  <c r="U259" i="55"/>
  <c r="V259" i="55"/>
  <c r="D260" i="55"/>
  <c r="C260" i="55"/>
  <c r="H260" i="55"/>
  <c r="M260" i="55"/>
  <c r="W260" i="55"/>
  <c r="S260" i="55"/>
  <c r="T260" i="55"/>
  <c r="U260" i="55"/>
  <c r="V260" i="55"/>
  <c r="X260" i="55"/>
  <c r="D261" i="55"/>
  <c r="C261" i="55"/>
  <c r="H261" i="55"/>
  <c r="M261" i="55"/>
  <c r="S261" i="55"/>
  <c r="T261" i="55"/>
  <c r="U261" i="55"/>
  <c r="V261" i="55"/>
  <c r="F17" i="76"/>
  <c r="G17" i="76"/>
  <c r="W160" i="55"/>
  <c r="C227" i="55"/>
  <c r="X192" i="55"/>
  <c r="D192" i="55"/>
  <c r="D190" i="55"/>
  <c r="C175" i="55"/>
  <c r="M156" i="55"/>
  <c r="M154" i="55"/>
  <c r="R151" i="55"/>
  <c r="W148" i="55"/>
  <c r="C147" i="55"/>
  <c r="W147" i="55"/>
  <c r="R144" i="55"/>
  <c r="C141" i="55"/>
  <c r="H138" i="55"/>
  <c r="H136" i="55"/>
  <c r="R134" i="55"/>
  <c r="C133" i="55"/>
  <c r="W111" i="55"/>
  <c r="W98" i="55"/>
  <c r="X82" i="55"/>
  <c r="W75" i="55"/>
  <c r="AA64" i="55"/>
  <c r="W63" i="55"/>
  <c r="W51" i="55"/>
  <c r="X46" i="55"/>
  <c r="R245" i="55"/>
  <c r="C245" i="55"/>
  <c r="S192" i="55"/>
  <c r="S190" i="55"/>
  <c r="X174" i="55"/>
  <c r="R147" i="55"/>
  <c r="R141" i="55"/>
  <c r="T138" i="55"/>
  <c r="T136" i="55"/>
  <c r="V138" i="55"/>
  <c r="V136" i="55"/>
  <c r="W86" i="55"/>
  <c r="W74" i="55"/>
  <c r="W62" i="55"/>
  <c r="W50" i="55"/>
  <c r="U46" i="55"/>
  <c r="H46" i="55"/>
  <c r="R250" i="55"/>
  <c r="R196" i="55"/>
  <c r="W141" i="55"/>
  <c r="M136" i="55"/>
  <c r="W133" i="55"/>
  <c r="H120" i="55"/>
  <c r="H118" i="55"/>
  <c r="U64" i="55"/>
  <c r="R213" i="55"/>
  <c r="C155" i="55"/>
  <c r="C151" i="55"/>
  <c r="W151" i="55"/>
  <c r="S138" i="55"/>
  <c r="S136" i="55"/>
  <c r="D138" i="55"/>
  <c r="D136" i="55"/>
  <c r="X138" i="55"/>
  <c r="N136" i="55"/>
  <c r="X136" i="55"/>
  <c r="R135" i="55"/>
  <c r="C134" i="55"/>
  <c r="T120" i="55"/>
  <c r="T118" i="55"/>
  <c r="C48" i="55"/>
  <c r="W49" i="55"/>
  <c r="R137" i="55"/>
  <c r="W121" i="55"/>
  <c r="V118" i="55"/>
  <c r="N118" i="55"/>
  <c r="X118" i="55"/>
  <c r="W106" i="55"/>
  <c r="Z84" i="55"/>
  <c r="Y66" i="55"/>
  <c r="R65" i="55"/>
  <c r="C65" i="55"/>
  <c r="Z48" i="55"/>
  <c r="C47" i="55"/>
  <c r="W47" i="55"/>
  <c r="W41" i="55"/>
  <c r="C39" i="55"/>
  <c r="W39" i="55"/>
  <c r="R34" i="55"/>
  <c r="R30" i="55"/>
  <c r="R28" i="55"/>
  <c r="C32" i="55"/>
  <c r="U28" i="55"/>
  <c r="R121" i="55"/>
  <c r="R106" i="55"/>
  <c r="V102" i="55"/>
  <c r="V100" i="55"/>
  <c r="R101" i="55"/>
  <c r="D84" i="55"/>
  <c r="D82" i="55"/>
  <c r="W83" i="55"/>
  <c r="G64" i="55"/>
  <c r="Z64" i="55"/>
  <c r="D48" i="55"/>
  <c r="D46" i="55"/>
  <c r="W44" i="55"/>
  <c r="W40" i="55"/>
  <c r="S30" i="55"/>
  <c r="S28" i="55"/>
  <c r="C29" i="55"/>
  <c r="X27" i="55"/>
  <c r="M27" i="55"/>
  <c r="C25" i="55"/>
  <c r="W25" i="55"/>
  <c r="R22" i="55"/>
  <c r="W15" i="55"/>
  <c r="C14" i="55"/>
  <c r="W14" i="55"/>
  <c r="O12" i="55"/>
  <c r="Y12" i="55"/>
  <c r="S84" i="55"/>
  <c r="S82" i="55"/>
  <c r="R83" i="55"/>
  <c r="R67" i="55"/>
  <c r="S66" i="55"/>
  <c r="S64" i="55"/>
  <c r="S48" i="55"/>
  <c r="S46" i="55"/>
  <c r="V30" i="55"/>
  <c r="V28" i="55"/>
  <c r="R31" i="55"/>
  <c r="M30" i="55"/>
  <c r="N12" i="55"/>
  <c r="N10" i="55"/>
  <c r="R44" i="55"/>
  <c r="R40" i="55"/>
  <c r="W31" i="55"/>
  <c r="X30" i="55"/>
  <c r="M28" i="55"/>
  <c r="C27" i="55"/>
  <c r="C20" i="55"/>
  <c r="W20" i="55"/>
  <c r="R16" i="55"/>
  <c r="O10" i="55"/>
  <c r="Y10" i="55"/>
  <c r="X26" i="55"/>
  <c r="D26" i="55"/>
  <c r="C26" i="55"/>
  <c r="W26" i="55"/>
  <c r="S25" i="55"/>
  <c r="R25" i="55"/>
  <c r="M23" i="55"/>
  <c r="X22" i="55"/>
  <c r="D22" i="55"/>
  <c r="C22" i="55"/>
  <c r="W22" i="55"/>
  <c r="X21" i="55"/>
  <c r="D21" i="55"/>
  <c r="C21" i="55"/>
  <c r="W21" i="55"/>
  <c r="S20" i="55"/>
  <c r="R20" i="55"/>
  <c r="Z17" i="55"/>
  <c r="M17" i="55"/>
  <c r="X16" i="55"/>
  <c r="D16" i="55"/>
  <c r="C16" i="55"/>
  <c r="W16" i="55"/>
  <c r="S15" i="55"/>
  <c r="R15" i="55"/>
  <c r="S14" i="55"/>
  <c r="R14" i="55"/>
  <c r="U13" i="55"/>
  <c r="M13" i="55"/>
  <c r="I12" i="55"/>
  <c r="I10" i="55"/>
  <c r="T27" i="55"/>
  <c r="U24" i="55"/>
  <c r="R24" i="55"/>
  <c r="M24" i="55"/>
  <c r="T23" i="55"/>
  <c r="R23" i="55"/>
  <c r="U19" i="55"/>
  <c r="R19" i="55"/>
  <c r="U18" i="55"/>
  <c r="R18" i="55"/>
  <c r="Z14" i="55"/>
  <c r="X13" i="55"/>
  <c r="T13" i="55"/>
  <c r="T12" i="55"/>
  <c r="D13" i="55"/>
  <c r="Y11" i="55"/>
  <c r="U11" i="55"/>
  <c r="M11" i="55"/>
  <c r="W11" i="55"/>
  <c r="G10" i="55"/>
  <c r="S13" i="55"/>
  <c r="T11" i="55"/>
  <c r="T10" i="55"/>
  <c r="P10" i="55"/>
  <c r="L10" i="55"/>
  <c r="AA10" i="55"/>
  <c r="H11" i="55"/>
  <c r="X10" i="55"/>
  <c r="Z10" i="55"/>
  <c r="U12" i="55"/>
  <c r="U10" i="55"/>
  <c r="C11" i="55"/>
  <c r="W29" i="55"/>
  <c r="W175" i="55"/>
  <c r="C174" i="55"/>
  <c r="W245" i="55"/>
  <c r="R11" i="55"/>
  <c r="W27" i="55"/>
  <c r="W65" i="55"/>
  <c r="W155" i="55"/>
  <c r="W227" i="55"/>
  <c r="C13" i="55"/>
  <c r="X12" i="55"/>
  <c r="W134" i="55"/>
  <c r="M12" i="55"/>
  <c r="C46" i="55"/>
  <c r="W13" i="55"/>
  <c r="U246" i="55"/>
  <c r="U244" i="55"/>
  <c r="R249" i="55"/>
  <c r="U192" i="55"/>
  <c r="U190" i="55"/>
  <c r="E226" i="55"/>
  <c r="X228" i="55"/>
  <c r="M10" i="55"/>
  <c r="S174" i="55"/>
  <c r="S172" i="55"/>
  <c r="D210" i="55"/>
  <c r="D208" i="55"/>
  <c r="C259" i="55"/>
  <c r="R257" i="55"/>
  <c r="R234" i="55"/>
  <c r="C234" i="55"/>
  <c r="W230" i="55"/>
  <c r="V228" i="55"/>
  <c r="R229" i="55"/>
  <c r="R225" i="55"/>
  <c r="C214" i="55"/>
  <c r="W214" i="55"/>
  <c r="T210" i="55"/>
  <c r="T208" i="55"/>
  <c r="H210" i="55"/>
  <c r="H208" i="55"/>
  <c r="C206" i="55"/>
  <c r="T192" i="55"/>
  <c r="T190" i="55"/>
  <c r="H192" i="55"/>
  <c r="H190" i="55"/>
  <c r="V174" i="55"/>
  <c r="V172" i="55"/>
  <c r="D174" i="55"/>
  <c r="C210" i="55"/>
  <c r="C208" i="55"/>
  <c r="W211" i="55"/>
  <c r="R169" i="55"/>
  <c r="C246" i="55"/>
  <c r="W257" i="55"/>
  <c r="T246" i="55"/>
  <c r="T244" i="55"/>
  <c r="R247" i="55"/>
  <c r="I244" i="55"/>
  <c r="X244" i="55"/>
  <c r="W241" i="55"/>
  <c r="R239" i="55"/>
  <c r="U228" i="55"/>
  <c r="U226" i="55"/>
  <c r="M228" i="55"/>
  <c r="AA226" i="55"/>
  <c r="T226" i="55"/>
  <c r="R211" i="55"/>
  <c r="W209" i="55"/>
  <c r="R207" i="55"/>
  <c r="R205" i="55"/>
  <c r="W199" i="55"/>
  <c r="W197" i="55"/>
  <c r="W194" i="55"/>
  <c r="R193" i="55"/>
  <c r="R192" i="55"/>
  <c r="U174" i="55"/>
  <c r="U172" i="55"/>
  <c r="M174" i="55"/>
  <c r="T172" i="55"/>
  <c r="R173" i="55"/>
  <c r="C173" i="55"/>
  <c r="D172" i="55"/>
  <c r="V226" i="55"/>
  <c r="R227" i="55"/>
  <c r="W32" i="55"/>
  <c r="C30" i="55"/>
  <c r="C28" i="55"/>
  <c r="W28" i="55"/>
  <c r="C244" i="55"/>
  <c r="D246" i="55"/>
  <c r="D244" i="55"/>
  <c r="R261" i="55"/>
  <c r="R260" i="55"/>
  <c r="S246" i="55"/>
  <c r="S244" i="55"/>
  <c r="M246" i="55"/>
  <c r="W239" i="55"/>
  <c r="R237" i="55"/>
  <c r="R235" i="55"/>
  <c r="C231" i="55"/>
  <c r="W231" i="55"/>
  <c r="D228" i="55"/>
  <c r="D226" i="55"/>
  <c r="R230" i="55"/>
  <c r="C228" i="55"/>
  <c r="C226" i="55"/>
  <c r="W229" i="55"/>
  <c r="X226" i="55"/>
  <c r="R222" i="55"/>
  <c r="U210" i="55"/>
  <c r="U208" i="55"/>
  <c r="V210" i="55"/>
  <c r="V208" i="55"/>
  <c r="M210" i="55"/>
  <c r="E208" i="55"/>
  <c r="X208" i="55"/>
  <c r="X210" i="55"/>
  <c r="W206" i="55"/>
  <c r="W193" i="55"/>
  <c r="C192" i="55"/>
  <c r="C190" i="55"/>
  <c r="R191" i="55"/>
  <c r="R178" i="55"/>
  <c r="R174" i="55"/>
  <c r="T156" i="55"/>
  <c r="T154" i="55"/>
  <c r="H156" i="55"/>
  <c r="N154" i="55"/>
  <c r="X154" i="55"/>
  <c r="X156" i="55"/>
  <c r="W130" i="55"/>
  <c r="W128" i="55"/>
  <c r="W125" i="55"/>
  <c r="W123" i="55"/>
  <c r="D120" i="55"/>
  <c r="C122" i="55"/>
  <c r="C120" i="55"/>
  <c r="U120" i="55"/>
  <c r="U118" i="55"/>
  <c r="T102" i="55"/>
  <c r="T100" i="55"/>
  <c r="D102" i="55"/>
  <c r="C103" i="55"/>
  <c r="C102" i="55"/>
  <c r="M84" i="55"/>
  <c r="C168" i="55"/>
  <c r="R162" i="55"/>
  <c r="C158" i="55"/>
  <c r="H154" i="55"/>
  <c r="R142" i="55"/>
  <c r="R138" i="55"/>
  <c r="R136" i="55"/>
  <c r="W132" i="55"/>
  <c r="S120" i="55"/>
  <c r="S118" i="55"/>
  <c r="D118" i="55"/>
  <c r="C119" i="55"/>
  <c r="S102" i="55"/>
  <c r="S100" i="55"/>
  <c r="R103" i="55"/>
  <c r="E100" i="55"/>
  <c r="X100" i="55"/>
  <c r="X102" i="55"/>
  <c r="W96" i="55"/>
  <c r="T84" i="55"/>
  <c r="M82" i="55"/>
  <c r="V66" i="55"/>
  <c r="V64" i="55"/>
  <c r="C69" i="55"/>
  <c r="Y64" i="55"/>
  <c r="C138" i="55"/>
  <c r="C136" i="55"/>
  <c r="W136" i="55"/>
  <c r="S228" i="55"/>
  <c r="S226" i="55"/>
  <c r="M192" i="55"/>
  <c r="C167" i="55"/>
  <c r="W167" i="55"/>
  <c r="C163" i="55"/>
  <c r="W163" i="55"/>
  <c r="C161" i="55"/>
  <c r="W161" i="55"/>
  <c r="R153" i="55"/>
  <c r="C153" i="55"/>
  <c r="W153" i="55"/>
  <c r="R152" i="55"/>
  <c r="C152" i="55"/>
  <c r="W152" i="55"/>
  <c r="W145" i="55"/>
  <c r="W131" i="55"/>
  <c r="R130" i="55"/>
  <c r="W129" i="55"/>
  <c r="R128" i="55"/>
  <c r="W127" i="55"/>
  <c r="R125" i="55"/>
  <c r="W124" i="55"/>
  <c r="R123" i="55"/>
  <c r="R120" i="55"/>
  <c r="R118" i="55"/>
  <c r="W122" i="55"/>
  <c r="R117" i="55"/>
  <c r="H102" i="55"/>
  <c r="H100" i="55"/>
  <c r="W103" i="55"/>
  <c r="W95" i="55"/>
  <c r="R91" i="55"/>
  <c r="R89" i="55"/>
  <c r="R88" i="55"/>
  <c r="U84" i="55"/>
  <c r="U82" i="55"/>
  <c r="R85" i="55"/>
  <c r="H84" i="55"/>
  <c r="H82" i="55"/>
  <c r="C85" i="55"/>
  <c r="R74" i="55"/>
  <c r="W68" i="55"/>
  <c r="M66" i="55"/>
  <c r="R166" i="55"/>
  <c r="R160" i="55"/>
  <c r="R156" i="55"/>
  <c r="R154" i="55"/>
  <c r="D156" i="55"/>
  <c r="D154" i="55"/>
  <c r="M120" i="55"/>
  <c r="M102" i="55"/>
  <c r="D100" i="55"/>
  <c r="C101" i="55"/>
  <c r="W99" i="55"/>
  <c r="R97" i="55"/>
  <c r="R96" i="55"/>
  <c r="W91" i="55"/>
  <c r="W89" i="55"/>
  <c r="V84" i="55"/>
  <c r="V82" i="55"/>
  <c r="T82" i="55"/>
  <c r="R81" i="55"/>
  <c r="R80" i="55"/>
  <c r="R79" i="55"/>
  <c r="C79" i="55"/>
  <c r="W79" i="55"/>
  <c r="R78" i="55"/>
  <c r="R76" i="55"/>
  <c r="R72" i="55"/>
  <c r="T66" i="55"/>
  <c r="T64" i="55"/>
  <c r="R69" i="55"/>
  <c r="R66" i="55"/>
  <c r="R64" i="55"/>
  <c r="H66" i="55"/>
  <c r="H64" i="55"/>
  <c r="T28" i="55"/>
  <c r="W70" i="55"/>
  <c r="D66" i="55"/>
  <c r="D64" i="55"/>
  <c r="C67" i="55"/>
  <c r="W58" i="55"/>
  <c r="Z12" i="55"/>
  <c r="W69" i="55"/>
  <c r="R63" i="55"/>
  <c r="R62" i="55"/>
  <c r="W61" i="55"/>
  <c r="W57" i="55"/>
  <c r="V48" i="55"/>
  <c r="V46" i="55"/>
  <c r="M48" i="55"/>
  <c r="W38" i="55"/>
  <c r="W37" i="55"/>
  <c r="H30" i="55"/>
  <c r="H28" i="55"/>
  <c r="D30" i="55"/>
  <c r="D28" i="55"/>
  <c r="V13" i="55"/>
  <c r="V12" i="55"/>
  <c r="V10" i="55"/>
  <c r="X48" i="55"/>
  <c r="S27" i="55"/>
  <c r="R27" i="55"/>
  <c r="X25" i="55"/>
  <c r="H24" i="55"/>
  <c r="C24" i="55"/>
  <c r="W24" i="55"/>
  <c r="S21" i="55"/>
  <c r="R21" i="55"/>
  <c r="H19" i="55"/>
  <c r="H12" i="55"/>
  <c r="H10" i="55"/>
  <c r="D17" i="55"/>
  <c r="S26" i="55"/>
  <c r="R26" i="55"/>
  <c r="D23" i="55"/>
  <c r="C23" i="55"/>
  <c r="W23" i="55"/>
  <c r="X19" i="55"/>
  <c r="S17" i="55"/>
  <c r="X15" i="55"/>
  <c r="X14" i="55"/>
  <c r="R84" i="55"/>
  <c r="R82" i="55"/>
  <c r="C118" i="55"/>
  <c r="W119" i="55"/>
  <c r="W173" i="55"/>
  <c r="C172" i="55"/>
  <c r="R210" i="55"/>
  <c r="R208" i="55"/>
  <c r="R246" i="55"/>
  <c r="R244" i="55"/>
  <c r="C66" i="55"/>
  <c r="C64" i="55"/>
  <c r="W67" i="55"/>
  <c r="M100" i="55"/>
  <c r="W102" i="55"/>
  <c r="R172" i="55"/>
  <c r="R190" i="55"/>
  <c r="R17" i="55"/>
  <c r="S12" i="55"/>
  <c r="S10" i="55"/>
  <c r="C17" i="55"/>
  <c r="D12" i="55"/>
  <c r="D10" i="55"/>
  <c r="W48" i="55"/>
  <c r="M46" i="55"/>
  <c r="W46" i="55"/>
  <c r="R48" i="55"/>
  <c r="R46" i="55"/>
  <c r="C19" i="55"/>
  <c r="W19" i="55"/>
  <c r="M118" i="55"/>
  <c r="W118" i="55"/>
  <c r="W120" i="55"/>
  <c r="W66" i="55"/>
  <c r="M64" i="55"/>
  <c r="W64" i="55"/>
  <c r="C84" i="55"/>
  <c r="C82" i="55"/>
  <c r="W82" i="55"/>
  <c r="W85" i="55"/>
  <c r="W192" i="55"/>
  <c r="M190" i="55"/>
  <c r="W190" i="55"/>
  <c r="R102" i="55"/>
  <c r="R100" i="55"/>
  <c r="W158" i="55"/>
  <c r="C156" i="55"/>
  <c r="W84" i="55"/>
  <c r="W210" i="55"/>
  <c r="M208" i="55"/>
  <c r="W208" i="55"/>
  <c r="W138" i="55"/>
  <c r="W30" i="55"/>
  <c r="W101" i="55"/>
  <c r="C100" i="55"/>
  <c r="M244" i="55"/>
  <c r="W244" i="55"/>
  <c r="W246" i="55"/>
  <c r="M172" i="55"/>
  <c r="W172" i="55"/>
  <c r="W174" i="55"/>
  <c r="W228" i="55"/>
  <c r="M226" i="55"/>
  <c r="W226" i="55"/>
  <c r="R228" i="55"/>
  <c r="R226" i="55"/>
  <c r="R13" i="55"/>
  <c r="R12" i="55"/>
  <c r="R10" i="55"/>
  <c r="W100" i="55"/>
  <c r="C154" i="55"/>
  <c r="W154" i="55"/>
  <c r="W156" i="55"/>
  <c r="W17" i="55"/>
  <c r="C12" i="55"/>
  <c r="C10" i="55"/>
  <c r="W10" i="55"/>
  <c r="W12" i="55"/>
  <c r="AR26" i="95"/>
  <c r="AQ15" i="95"/>
  <c r="AS15" i="95"/>
  <c r="AT21" i="95"/>
  <c r="K27" i="95"/>
  <c r="O27" i="95"/>
  <c r="AE27" i="95"/>
  <c r="AI27" i="95"/>
  <c r="AS16" i="95"/>
  <c r="AQ19" i="95"/>
  <c r="AS19" i="95"/>
  <c r="AQ20" i="95"/>
  <c r="AS20" i="95"/>
  <c r="AQ21" i="95"/>
  <c r="AS21" i="95"/>
  <c r="AQ23" i="95"/>
  <c r="AS23" i="95"/>
  <c r="AQ61" i="95"/>
  <c r="AA27" i="95"/>
  <c r="AQ18" i="95"/>
  <c r="AS18" i="95"/>
  <c r="AT22" i="95"/>
  <c r="AS26" i="95"/>
  <c r="Z27" i="95"/>
  <c r="AQ13" i="95"/>
  <c r="AS13" i="95"/>
  <c r="AS12" i="95"/>
  <c r="W12" i="95"/>
  <c r="AQ14" i="95"/>
  <c r="AS14" i="95"/>
  <c r="AQ17" i="95"/>
  <c r="AS17" i="95"/>
  <c r="AQ22" i="95"/>
  <c r="AS22" i="95"/>
  <c r="S27" i="95"/>
  <c r="AM27" i="95"/>
  <c r="I102" i="95"/>
  <c r="I14" i="95"/>
  <c r="AR14" i="95"/>
  <c r="AR74" i="95"/>
  <c r="AR102" i="95"/>
  <c r="C177" i="95"/>
  <c r="AQ42" i="95"/>
  <c r="W61" i="95"/>
  <c r="I145" i="95"/>
  <c r="I177" i="95"/>
  <c r="I16" i="95"/>
  <c r="P177" i="95"/>
  <c r="P16" i="95"/>
  <c r="P12" i="95"/>
  <c r="P27" i="95"/>
  <c r="C160" i="95"/>
  <c r="V160" i="95"/>
  <c r="AQ160" i="95"/>
  <c r="AC214" i="95"/>
  <c r="AR214" i="95"/>
  <c r="AJ266" i="95"/>
  <c r="AJ18" i="95"/>
  <c r="AJ12" i="95"/>
  <c r="AJ27" i="95"/>
  <c r="AQ284" i="95"/>
  <c r="C25" i="95"/>
  <c r="W25" i="95"/>
  <c r="C102" i="95"/>
  <c r="AQ74" i="95"/>
  <c r="AS79" i="95"/>
  <c r="AS82" i="95"/>
  <c r="AS85" i="95"/>
  <c r="AS91" i="95"/>
  <c r="AS100" i="95"/>
  <c r="V132" i="95"/>
  <c r="V15" i="95"/>
  <c r="AQ150" i="95"/>
  <c r="AQ152" i="95"/>
  <c r="AQ154" i="95"/>
  <c r="C158" i="95"/>
  <c r="E177" i="95"/>
  <c r="E16" i="95"/>
  <c r="E12" i="95"/>
  <c r="V158" i="95"/>
  <c r="AQ158" i="95"/>
  <c r="AQ159" i="95"/>
  <c r="V163" i="95"/>
  <c r="AR171" i="95"/>
  <c r="AQ173" i="95"/>
  <c r="P214" i="95"/>
  <c r="P17" i="95"/>
  <c r="I190" i="95"/>
  <c r="I214" i="95"/>
  <c r="I17" i="95"/>
  <c r="AQ197" i="95"/>
  <c r="C233" i="95"/>
  <c r="AQ233" i="95"/>
  <c r="P266" i="95"/>
  <c r="P18" i="95"/>
  <c r="AC266" i="95"/>
  <c r="AR246" i="95"/>
  <c r="V308" i="95"/>
  <c r="V19" i="95"/>
  <c r="D12" i="95"/>
  <c r="D27" i="95"/>
  <c r="X12" i="95"/>
  <c r="X27" i="95"/>
  <c r="W102" i="95"/>
  <c r="AQ83" i="95"/>
  <c r="AQ89" i="95"/>
  <c r="AQ92" i="95"/>
  <c r="AQ97" i="95"/>
  <c r="C100" i="95"/>
  <c r="AQ100" i="95"/>
  <c r="AQ146" i="95"/>
  <c r="AQ147" i="95"/>
  <c r="AQ157" i="95"/>
  <c r="AR158" i="95"/>
  <c r="AQ162" i="95"/>
  <c r="AQ163" i="95"/>
  <c r="C164" i="95"/>
  <c r="V164" i="95"/>
  <c r="AQ164" i="95"/>
  <c r="AQ165" i="95"/>
  <c r="AQ167" i="95"/>
  <c r="AR176" i="95"/>
  <c r="G177" i="95"/>
  <c r="G16" i="95"/>
  <c r="G12" i="95"/>
  <c r="G27" i="95"/>
  <c r="AR196" i="95"/>
  <c r="AR198" i="95"/>
  <c r="AR207" i="95"/>
  <c r="J214" i="95"/>
  <c r="J17" i="95"/>
  <c r="I227" i="95"/>
  <c r="J233" i="95"/>
  <c r="J23" i="95"/>
  <c r="AD233" i="95"/>
  <c r="AD23" i="95"/>
  <c r="V266" i="95"/>
  <c r="V18" i="95"/>
  <c r="AR250" i="95"/>
  <c r="AQ259" i="95"/>
  <c r="AQ265" i="95"/>
  <c r="I40" i="95"/>
  <c r="J102" i="95"/>
  <c r="J14" i="95"/>
  <c r="J12" i="95"/>
  <c r="J27" i="95"/>
  <c r="AD102" i="95"/>
  <c r="AD14" i="95"/>
  <c r="AD12" i="95"/>
  <c r="AD27" i="95"/>
  <c r="V100" i="95"/>
  <c r="V102" i="95"/>
  <c r="V14" i="95"/>
  <c r="I120" i="95"/>
  <c r="AR120" i="95"/>
  <c r="I123" i="95"/>
  <c r="AR123" i="95"/>
  <c r="J177" i="95"/>
  <c r="J16" i="95"/>
  <c r="AD177" i="95"/>
  <c r="AD16" i="95"/>
  <c r="AC16" i="95"/>
  <c r="AC145" i="95"/>
  <c r="AR156" i="95"/>
  <c r="AQ161" i="95"/>
  <c r="AR164" i="95"/>
  <c r="C214" i="95"/>
  <c r="AD214" i="95"/>
  <c r="AD17" i="95"/>
  <c r="AC17" i="95"/>
  <c r="W266" i="95"/>
  <c r="AQ266" i="95"/>
  <c r="I281" i="95"/>
  <c r="AR281" i="95"/>
  <c r="J308" i="95"/>
  <c r="J19" i="95"/>
  <c r="AD308" i="95"/>
  <c r="AD19" i="95"/>
  <c r="AQ101" i="95"/>
  <c r="AR115" i="95"/>
  <c r="W214" i="95"/>
  <c r="AQ246" i="95"/>
  <c r="AR258" i="95"/>
  <c r="Q353" i="95"/>
  <c r="Q20" i="95"/>
  <c r="Q12" i="95"/>
  <c r="Q27" i="95"/>
  <c r="P349" i="95"/>
  <c r="I349" i="95"/>
  <c r="V349" i="95"/>
  <c r="V353" i="95"/>
  <c r="V20" i="95"/>
  <c r="C376" i="95"/>
  <c r="AQ376" i="95"/>
  <c r="V376" i="95"/>
  <c r="V377" i="95"/>
  <c r="V26" i="95"/>
  <c r="V24" i="95"/>
  <c r="E377" i="95"/>
  <c r="E26" i="95"/>
  <c r="AJ414" i="95"/>
  <c r="AJ25" i="95"/>
  <c r="AJ24" i="95"/>
  <c r="AC391" i="95"/>
  <c r="AR433" i="95"/>
  <c r="AR435" i="95"/>
  <c r="V149" i="95"/>
  <c r="V177" i="95"/>
  <c r="V16" i="95"/>
  <c r="AQ227" i="95"/>
  <c r="J266" i="95"/>
  <c r="J18" i="95"/>
  <c r="AQ257" i="95"/>
  <c r="AQ261" i="95"/>
  <c r="P308" i="95"/>
  <c r="P19" i="95"/>
  <c r="I279" i="95"/>
  <c r="W308" i="95"/>
  <c r="AQ308" i="95"/>
  <c r="J353" i="95"/>
  <c r="J20" i="95"/>
  <c r="I321" i="95"/>
  <c r="AR429" i="95"/>
  <c r="AR431" i="95"/>
  <c r="AR463" i="95"/>
  <c r="AD266" i="95"/>
  <c r="AD18" i="95"/>
  <c r="AC18" i="95"/>
  <c r="I257" i="95"/>
  <c r="I266" i="95"/>
  <c r="I18" i="95"/>
  <c r="I261" i="95"/>
  <c r="AU281" i="95"/>
  <c r="AU285" i="95"/>
  <c r="AU289" i="95"/>
  <c r="AU293" i="95"/>
  <c r="AU297" i="95"/>
  <c r="AU301" i="95"/>
  <c r="AU305" i="95"/>
  <c r="P353" i="95"/>
  <c r="P20" i="95"/>
  <c r="AJ353" i="95"/>
  <c r="AJ20" i="95"/>
  <c r="I328" i="95"/>
  <c r="AR328" i="95"/>
  <c r="I333" i="95"/>
  <c r="I334" i="95"/>
  <c r="I338" i="95"/>
  <c r="AC439" i="95"/>
  <c r="AR426" i="95"/>
  <c r="I427" i="95"/>
  <c r="J439" i="95"/>
  <c r="J21" i="95"/>
  <c r="AR427" i="95"/>
  <c r="AR428" i="95"/>
  <c r="AR432" i="95"/>
  <c r="AR437" i="95"/>
  <c r="V466" i="95"/>
  <c r="V22" i="95"/>
  <c r="AQ457" i="95"/>
  <c r="AR465" i="95"/>
  <c r="C353" i="95"/>
  <c r="I336" i="95"/>
  <c r="I340" i="95"/>
  <c r="I342" i="95"/>
  <c r="I344" i="95"/>
  <c r="I346" i="95"/>
  <c r="AR346" i="95"/>
  <c r="W377" i="95"/>
  <c r="AQ414" i="95"/>
  <c r="AQ395" i="95"/>
  <c r="AQ399" i="95"/>
  <c r="AQ403" i="95"/>
  <c r="AQ407" i="95"/>
  <c r="AQ411" i="95"/>
  <c r="C466" i="95"/>
  <c r="W466" i="95"/>
  <c r="AR461" i="95"/>
  <c r="W353" i="95"/>
  <c r="AQ349" i="95"/>
  <c r="I351" i="95"/>
  <c r="AR351" i="95"/>
  <c r="I367" i="95"/>
  <c r="AQ369" i="95"/>
  <c r="AD414" i="95"/>
  <c r="AD25" i="95"/>
  <c r="AD24" i="95"/>
  <c r="AR392" i="95"/>
  <c r="AR396" i="95"/>
  <c r="AR400" i="95"/>
  <c r="AR404" i="95"/>
  <c r="AR408" i="95"/>
  <c r="AR413" i="95"/>
  <c r="I439" i="95"/>
  <c r="I21" i="95"/>
  <c r="AR21" i="95"/>
  <c r="AQ439" i="95"/>
  <c r="AQ429" i="95"/>
  <c r="AQ433" i="95"/>
  <c r="AQ437" i="95"/>
  <c r="I453" i="95"/>
  <c r="I466" i="95"/>
  <c r="I22" i="95"/>
  <c r="AR22" i="95"/>
  <c r="J466" i="95"/>
  <c r="J22" i="95"/>
  <c r="AC466" i="95"/>
  <c r="AR466" i="95"/>
  <c r="AQ367" i="95"/>
  <c r="C369" i="95"/>
  <c r="C370" i="95"/>
  <c r="AQ370" i="95"/>
  <c r="C371" i="95"/>
  <c r="C377" i="95"/>
  <c r="D378" i="95"/>
  <c r="F377" i="95"/>
  <c r="F26" i="95"/>
  <c r="F24" i="95"/>
  <c r="F27" i="95"/>
  <c r="J377" i="95"/>
  <c r="J26" i="95"/>
  <c r="J24" i="95"/>
  <c r="I391" i="95"/>
  <c r="I414" i="95"/>
  <c r="I25" i="95"/>
  <c r="I24" i="95"/>
  <c r="AQ391" i="95"/>
  <c r="AQ453" i="95"/>
  <c r="V12" i="95"/>
  <c r="V27" i="95"/>
  <c r="AR391" i="95"/>
  <c r="AC414" i="95"/>
  <c r="AR227" i="95"/>
  <c r="I233" i="95"/>
  <c r="AR367" i="95"/>
  <c r="I377" i="95"/>
  <c r="AR377" i="95"/>
  <c r="AQ353" i="95"/>
  <c r="AR439" i="95"/>
  <c r="AT18" i="95"/>
  <c r="AR18" i="95"/>
  <c r="AQ371" i="95"/>
  <c r="AR453" i="95"/>
  <c r="AR257" i="95"/>
  <c r="AC12" i="95"/>
  <c r="AT16" i="95"/>
  <c r="AR16" i="95"/>
  <c r="AR40" i="95"/>
  <c r="I61" i="95"/>
  <c r="AQ177" i="95"/>
  <c r="AR266" i="95"/>
  <c r="AS25" i="95"/>
  <c r="AS24" i="95"/>
  <c r="AS27" i="95"/>
  <c r="W24" i="95"/>
  <c r="AQ25" i="95"/>
  <c r="I308" i="95"/>
  <c r="AR279" i="95"/>
  <c r="C26" i="95"/>
  <c r="AQ26" i="95"/>
  <c r="E24" i="95"/>
  <c r="E27" i="95"/>
  <c r="I132" i="95"/>
  <c r="AQ102" i="95"/>
  <c r="C24" i="95"/>
  <c r="AR145" i="95"/>
  <c r="AR177" i="95"/>
  <c r="AC177" i="95"/>
  <c r="AQ466" i="95"/>
  <c r="AQ377" i="95"/>
  <c r="I353" i="95"/>
  <c r="AQ214" i="95"/>
  <c r="AT17" i="95"/>
  <c r="AR17" i="95"/>
  <c r="AR190" i="95"/>
  <c r="C16" i="95"/>
  <c r="AR61" i="95"/>
  <c r="I13" i="95"/>
  <c r="AR414" i="95"/>
  <c r="AC25" i="95"/>
  <c r="C12" i="95"/>
  <c r="C27" i="95"/>
  <c r="AQ27" i="95"/>
  <c r="AQ16" i="95"/>
  <c r="I20" i="95"/>
  <c r="AR20" i="95"/>
  <c r="AR353" i="95"/>
  <c r="AT12" i="95"/>
  <c r="AR132" i="95"/>
  <c r="I15" i="95"/>
  <c r="AR15" i="95"/>
  <c r="I19" i="95"/>
  <c r="AR19" i="95"/>
  <c r="AR308" i="95"/>
  <c r="AR233" i="95"/>
  <c r="I23" i="95"/>
  <c r="AR23" i="95"/>
  <c r="I12" i="95"/>
  <c r="I27" i="95"/>
  <c r="AR13" i="95"/>
  <c r="AR25" i="95"/>
  <c r="AC24" i="95"/>
  <c r="AC27" i="95"/>
  <c r="AT25" i="95"/>
  <c r="AT24" i="95"/>
  <c r="AR27" i="95"/>
  <c r="K12" i="96"/>
  <c r="E6" i="96"/>
  <c r="E7" i="96"/>
  <c r="E8" i="96"/>
  <c r="E9" i="96"/>
  <c r="E10" i="96"/>
  <c r="E11" i="96"/>
  <c r="E12" i="96"/>
  <c r="K16" i="96"/>
  <c r="K17" i="96"/>
  <c r="C19" i="96"/>
  <c r="G19" i="96"/>
  <c r="I6" i="96"/>
  <c r="I7" i="96"/>
  <c r="I8" i="96"/>
  <c r="I9" i="96"/>
  <c r="I10" i="96"/>
  <c r="I11" i="96"/>
  <c r="G12" i="96"/>
  <c r="E15" i="96"/>
  <c r="AT27" i="95"/>
  <c r="K19" i="96"/>
  <c r="I19" i="96"/>
  <c r="E19" i="96"/>
  <c r="M19" i="96"/>
  <c r="C17" i="76" l="1"/>
  <c r="D4" i="76"/>
  <c r="C4" i="76"/>
  <c r="I17" i="76"/>
  <c r="D17" i="76" s="1"/>
</calcChain>
</file>

<file path=xl/sharedStrings.xml><?xml version="1.0" encoding="utf-8"?>
<sst xmlns="http://schemas.openxmlformats.org/spreadsheetml/2006/main" count="7159" uniqueCount="634">
  <si>
    <t>TT</t>
  </si>
  <si>
    <t>Tổng</t>
  </si>
  <si>
    <t>Tổng cộng</t>
  </si>
  <si>
    <t>Tổng số</t>
  </si>
  <si>
    <t>Huyện, thành phố, thị xã</t>
  </si>
  <si>
    <t>Số hộ</t>
  </si>
  <si>
    <t>Phân loại MH</t>
  </si>
  <si>
    <t>Loại lớn</t>
  </si>
  <si>
    <t>Loại vừa</t>
  </si>
  <si>
    <t>Loại nhỏ</t>
  </si>
  <si>
    <t>TP Hà Tĩnh</t>
  </si>
  <si>
    <t>Vũ Quang</t>
  </si>
  <si>
    <t>Hương Khê</t>
  </si>
  <si>
    <t>Can Lộc</t>
  </si>
  <si>
    <t>Lộc Hà</t>
  </si>
  <si>
    <t>Đức Thọ</t>
  </si>
  <si>
    <t>Nghi Xuân</t>
  </si>
  <si>
    <t>Cẩm Xuyên</t>
  </si>
  <si>
    <t>Kỳ Anh</t>
  </si>
  <si>
    <t>Hương Sơn</t>
  </si>
  <si>
    <t>TX Hồng Lĩnh</t>
  </si>
  <si>
    <t>Thạch Hà</t>
  </si>
  <si>
    <t>Địa phương</t>
  </si>
  <si>
    <t>Bình quân số mô hình thành lập mới/100hộ</t>
  </si>
  <si>
    <t>TX Kỳ Anh</t>
  </si>
  <si>
    <t>I</t>
  </si>
  <si>
    <t>II</t>
  </si>
  <si>
    <t>Kỳ Tây</t>
  </si>
  <si>
    <t>Thạch Văn</t>
  </si>
  <si>
    <t>(Số liệu tính đến ngày 17/7/2015)</t>
  </si>
  <si>
    <t>ĐVT: Triệu đồng</t>
  </si>
  <si>
    <t>Nội dung</t>
  </si>
  <si>
    <t xml:space="preserve">I. Nguồn vốn huy động </t>
  </si>
  <si>
    <t>II. Nguồn vốn đã sử dụng</t>
  </si>
  <si>
    <t>III. Nguồn vốn còn lại chưa sử dụng chuyển kỳ sau</t>
  </si>
  <si>
    <t>Tỷ lệ giải ngân nguồn vốn (%)</t>
  </si>
  <si>
    <t>1. Năm trước chuyển sang</t>
  </si>
  <si>
    <t>2. Huy động trong năm</t>
  </si>
  <si>
    <t>Cộng</t>
  </si>
  <si>
    <t>Nguồn vốn trực tiếp</t>
  </si>
  <si>
    <t>NSTW, tỉnh</t>
  </si>
  <si>
    <t>NS cấp huyện</t>
  </si>
  <si>
    <t>NS cấp xã</t>
  </si>
  <si>
    <t>Trái phiếu</t>
  </si>
  <si>
    <t>Toàn tỉnh</t>
  </si>
  <si>
    <t>-</t>
  </si>
  <si>
    <t>Vốn đầu tư phát triển</t>
  </si>
  <si>
    <t>Vốn sự nghiệp</t>
  </si>
  <si>
    <t>+</t>
  </si>
  <si>
    <t>Hỗ trợ lãi suất</t>
  </si>
  <si>
    <t>Hỗ trợ trực tiếp PTSX</t>
  </si>
  <si>
    <t>Điều chỉnh đề án XD NTM</t>
  </si>
  <si>
    <t>Điều chỉnh đề án PTSX nâng cao thu nhập dân cư nông thôn</t>
  </si>
  <si>
    <t>Hỗ trợ XD mô hình quy mô kinh tế hộ liên kết với DN</t>
  </si>
  <si>
    <t>Hỗ trợ xây dựng mô hình theo tiêu chí các Sở, ngành</t>
  </si>
  <si>
    <t>Hỗ trợ giải quyết vấn đề môi trường</t>
  </si>
  <si>
    <t>Sự nghiệp khác</t>
  </si>
  <si>
    <t>Quản lý, chỉ đạo cấp xã</t>
  </si>
  <si>
    <t>Khu dân cư NTM kiểu mẫu</t>
  </si>
  <si>
    <t>Vườn mẫu</t>
  </si>
  <si>
    <t>Hỗ trợ XD xã NTM kiểu mẫu</t>
  </si>
  <si>
    <t>Hỗ trợ KP sử dụng chế phẩm sinh học Hatimic</t>
  </si>
  <si>
    <t>Kinh phí tuyên truyền</t>
  </si>
  <si>
    <t>Hỗ trợ công tác VS hộ gia đình</t>
  </si>
  <si>
    <t>Huyện Kỳ Anh</t>
  </si>
  <si>
    <t>Kinh phí tuyên truyền, đào tạo, tập huấn</t>
  </si>
  <si>
    <t>Huyện Cẩm Xuyên</t>
  </si>
  <si>
    <t>III</t>
  </si>
  <si>
    <t>IV</t>
  </si>
  <si>
    <t>Huyện Thạch Hà</t>
  </si>
  <si>
    <t>V</t>
  </si>
  <si>
    <t>Huyện Can Lộc</t>
  </si>
  <si>
    <t>VI</t>
  </si>
  <si>
    <t>Huyện Đức Thọ</t>
  </si>
  <si>
    <t>VII</t>
  </si>
  <si>
    <t>Huyện Nghi Xuân</t>
  </si>
  <si>
    <t>VIII</t>
  </si>
  <si>
    <t>Huyện Hương Sơn</t>
  </si>
  <si>
    <t>IX</t>
  </si>
  <si>
    <t>Huyện Hương Khê</t>
  </si>
  <si>
    <t>X</t>
  </si>
  <si>
    <t>Thị xã Hồng Lĩnh</t>
  </si>
  <si>
    <t>XI</t>
  </si>
  <si>
    <t>Huyện Vũ Quang</t>
  </si>
  <si>
    <t>XII</t>
  </si>
  <si>
    <t>Huyện Lộc Hà</t>
  </si>
  <si>
    <t>XIII</t>
  </si>
  <si>
    <t>Thị xã Kỳ Anh</t>
  </si>
  <si>
    <t>BIỂU 10. TỔNG HỢP TIẾN ĐỘ GIẢI NGÂN NGUỒN VỐN TRỰC TIẾP THỰC HIỆN CHƯƠNG TRÌNH MTQG 
XÂY DỰNG NÔNG THÔN MỚI NĂM 2015</t>
  </si>
  <si>
    <t>Số xã không thành lập mới mô hình</t>
  </si>
  <si>
    <t>Địa Phương</t>
  </si>
  <si>
    <t>Số xã không thành lập mới được THT nào</t>
  </si>
  <si>
    <t>Số THT thành lập mới</t>
  </si>
  <si>
    <t>Bình quân THT thành lập mới/xã</t>
  </si>
  <si>
    <t>Số xã không thành lập mới được HTX nào</t>
  </si>
  <si>
    <t>HTX thành lập mới</t>
  </si>
  <si>
    <t>Bình quân HTX thành lập mới/xã</t>
  </si>
  <si>
    <t>Số xã không thành lập mới được DN nào</t>
  </si>
  <si>
    <t xml:space="preserve">Số DN thành lập mới </t>
  </si>
  <si>
    <t>Bình quân DN thành lập mới/xã</t>
  </si>
  <si>
    <t>Số xã không có THT</t>
  </si>
  <si>
    <t>Số xã không có HTX</t>
  </si>
  <si>
    <t>Số xã không có Doanh nghiệp</t>
  </si>
  <si>
    <t>Luỹ kế từ 01/01/2011 đến nay</t>
  </si>
  <si>
    <t>Giai đoạn 2011-2014</t>
  </si>
  <si>
    <t>Thành lập trong năm 2015</t>
  </si>
  <si>
    <t>Năm 2016</t>
  </si>
  <si>
    <t>10/25 xã: Cẩm Bình, Cẩm Dương, Cẩm Hòa, Cẩm Hưng, Cẩm Lạc, Cẩm Mỹ, Cẩm Nhượng, Cẩm Quang, Cẩm Thịnh và Cẩm Yên</t>
  </si>
  <si>
    <t>7/25 xã: Cẩm Duệ, Cẩm Dương, Cẩm Hòa, Cẩm Lạc, Cẩm Phúc, Cẩm Trung và Cẩm Yên</t>
  </si>
  <si>
    <t>9/22 xã: Thanh Lộc, Quang Lộc, Tiến Lộc, Tùng Lộc, Trung Lộc, Mỹ Lộc, Phú Lộc, Vĩnh Lộc và Yên Lộc</t>
  </si>
  <si>
    <t>12/22 xã: Thiên Lộc, Thanh Lộc, Quang Lộc, Thường Nga, Tiến Lộc, Trường Lộc, Vượng Lộc, Thượng Lộc, Gia Hanh, Sơn Lộc, Yên Lộc và Song Lộc</t>
  </si>
  <si>
    <t>12/22 xã: Khánh Lộc, Quang Lộc, Thường Nga, Vượng Lộc, Tùng Lộc, Trung Lộc, Mỹ Lộc, Đồng Lộc, Phú Lộc, Thuần Thiện, Sơn Lộc và Song Lộc</t>
  </si>
  <si>
    <t>12/27 xã: Liên Minh, Đức Lạc, Đức Nhân, Tân Hương, Đức Hòa, Đức Quang, Đức Thanh, Yên Hồ, Trường Sơn, Đức Thủy, Đức Thịnh và Đức Vĩnh</t>
  </si>
  <si>
    <t>13/21 xã: Phúc Trạch, Hương Trà, Lộc Yên, Hương Lâm, Hương Liên, Phú Phong, Gia Phố, Hương Bình, Hương Long, Hương Thủy, Hòa Hải, Phương Điền và Phú Gia</t>
  </si>
  <si>
    <t>11/21 xã: Hương Trạch, Hương Đô, Lộc Yên, Hương Liên, Phú Phong, Hương Vĩnh, Hương Bình, Phúc Đồng, Hòa Hải, Phương Điền và Phú Gia</t>
  </si>
  <si>
    <t>12/30 xã: Sơn Tây, Sơn Phú, Sơn Hòa, Sơn Hàm, Sơn Trường, Sơn Quang, Sơn An, Sơn Hà, Sơn Phúc, Sơn Bình, Sơn Lễ và Sơn Trà</t>
  </si>
  <si>
    <t>18/30 xã: Sơn Bằng, Sơn Trung, Sơn Tân, Sơn Thủy, Sơn Hòa, Sơn Ninh, Sơn Hàm, Sơn Trường, Sơn Mỹ, Sơn Hồng, Sơn Long, Sơn Lĩnh, Sơn An, Sơn Tiến, Sơn Bình, Sơn Lễ, Sơn Lâm và Sơn Trà</t>
  </si>
  <si>
    <t>6/21 xã: Kỳ Bắc, Kỳ Hải, Kỳ Hợp, Kỳ Phú, Kỳ Giang và Kỳ Văn</t>
  </si>
  <si>
    <t>7/21 xã: Kỳ Trung, Kỳ Tân, Kỳ Hợp, Kỳ Giang, Kỳ Phong, Kỳ Tây và Kỳ Thượng</t>
  </si>
  <si>
    <t>5/13 xã: Ích Hậu, Thạch Mỹ, Bình Lộc, Phù Lưu và Thịnh Lộc</t>
  </si>
  <si>
    <t>2/13 xã: Bình Lộc và Tân Lộc</t>
  </si>
  <si>
    <t>1/17 xã: Cương Gián</t>
  </si>
  <si>
    <t>7/17 xã: Xuân Mỹ, Xuân Thành, Xuân Phổ, Xuân Lam, Xuân Đan, Xuân Hải và Xuân Yên</t>
  </si>
  <si>
    <t>6/30 xã: Thạch Kênh, Thạch Ngọc, Thạch Thắng, Thạch Lưu, Thạch Hội và Thạch Hải</t>
  </si>
  <si>
    <t>13/30 xã: Thạch Liên, Phù Việt, Việt Xuyên, Thạch Sơn, Thạch Thanh, Thạch Tiến, Bắc Sơn, Thạch Xuân, Nam Hương, Thạch Thắng, Thạch Văn, Thạch Trị và Thạch Hải</t>
  </si>
  <si>
    <t>3/6 xã: Kỳ Nam, Kỳ Hưng và Kỳ Lợi</t>
  </si>
  <si>
    <t>4/6 xã: Kỳ Hoa, Kỳ Hà, Kỳ Ninh và Kỳ Lợi</t>
  </si>
  <si>
    <t>1/11 xã: Đức Giang</t>
  </si>
  <si>
    <t>5/11 xã: Ân Phú, Sơn Thọ, Đức Giang, Đức Bồng và Hương Điền</t>
  </si>
  <si>
    <t>6/11 xã: Hương Minh, Ân Phú, Đức Lĩnh, Đức Hương, Đức Bồng và Hương Điền</t>
  </si>
  <si>
    <t>5/6 xã: Kỳ Nam, Kỳ Hoa, Kỳ Hà, Kỳ Ninh và Kỳ Lợi</t>
  </si>
  <si>
    <t>1/1 xã: Thuận Lộc</t>
  </si>
  <si>
    <t>Bình quân số mô hình/100 hộ</t>
  </si>
  <si>
    <t>3/6 xã: Thạch Bình, Thạch Hạ và Thạch Môn</t>
  </si>
  <si>
    <t>1/6 xã: Thạch Đồng</t>
  </si>
  <si>
    <t>nghi xuan</t>
  </si>
  <si>
    <t>thach ha</t>
  </si>
  <si>
    <t>Ky anh</t>
  </si>
  <si>
    <t>Duc tho</t>
  </si>
  <si>
    <r>
      <t>*</t>
    </r>
    <r>
      <rPr>
        <b/>
        <i/>
        <sz val="10"/>
        <color indexed="8"/>
        <rFont val="Times New Roman"/>
        <family val="1"/>
      </rPr>
      <t xml:space="preserve"> Ghi chú:</t>
    </r>
    <r>
      <rPr>
        <sz val="10"/>
        <color indexed="8"/>
        <rFont val="Times New Roman"/>
        <family val="1"/>
      </rPr>
      <t xml:space="preserve"> Thứ tự các huyện, thành phố, thị xã sắp xếp từ cao đến thấp dựa trên bình quân số mô hình thành lập mới/100 hộ.</t>
    </r>
  </si>
  <si>
    <t>BIỂU 2: TỔNG HỢP KẾT QUẢ THÀNH LẬP MỚI CÁC TỔ HỢP TÁC TRONG NĂM 2016 VÀ LŨY KẾ ĐẾN NAY</t>
  </si>
  <si>
    <r>
      <t>* Ghi chú:</t>
    </r>
    <r>
      <rPr>
        <i/>
        <sz val="11"/>
        <color indexed="8"/>
        <rFont val="Times New Roman"/>
        <family val="1"/>
        <charset val="163"/>
      </rPr>
      <t xml:space="preserve"> Thứ tự các huyện, thành phố, thị xã sắp xếp từ cao đến thấp theo bình quân số THT thành lập mới/xã</t>
    </r>
  </si>
  <si>
    <t>Luỹ kế từ 01/01/2011
 đến nay</t>
  </si>
  <si>
    <t>7/27 xã: Liên Minh, Đức An, Bùi Xã, Đức Hòa, Tùng Ảnh, Thái Yên và Trung Lễ</t>
  </si>
  <si>
    <r>
      <t>* Ghi chú:</t>
    </r>
    <r>
      <rPr>
        <i/>
        <sz val="10"/>
        <color indexed="8"/>
        <rFont val="Times New Roman"/>
        <family val="1"/>
        <charset val="163"/>
      </rPr>
      <t xml:space="preserve"> Thứ tự các huyện, thành phố, thị xã sắp xếp từ cao đến thấp theo bình quân số HTX thành lập mới/xã</t>
    </r>
  </si>
  <si>
    <t>Luỹ kế từ 01/01/2011 
đến nay</t>
  </si>
  <si>
    <r>
      <t>* Ghi chú:</t>
    </r>
    <r>
      <rPr>
        <i/>
        <sz val="10"/>
        <color indexed="8"/>
        <rFont val="Times New Roman"/>
        <family val="1"/>
        <charset val="163"/>
      </rPr>
      <t xml:space="preserve"> Thứ tự các huyện, thành phố, thị xã sắp xếp từ cao đến thấp theo bình quân số DN thành lập mới/xã</t>
    </r>
  </si>
  <si>
    <t>BIỂU 03: TỔNG HỢP KẾT QUẢ THÀNH LẬP MỚI CÁC HỢP TÁC XÃ TRONG NĂM 2016 VÀ LŨY KẾ ĐẾN NAY</t>
  </si>
  <si>
    <t>BIỂU 4: TỔNG HỢP KẾT QUẢ THÀNH LẬP MỚI DOANH NGHIỆP TRONG NĂM 2016 VÀ LŨY KẾ ĐẾN NAY</t>
  </si>
  <si>
    <t>(Kèm theo Báo cáo số:          /BC-SNN ngày        /12/2016 của Sở Nông nghiệp và PTNT)</t>
  </si>
  <si>
    <t>Kế hoạch UBND tỉnh giao</t>
  </si>
  <si>
    <t>Khối lượng thực hiện</t>
  </si>
  <si>
    <t>Ghi chú</t>
  </si>
  <si>
    <t>Chiều dài kênh mương (km)</t>
  </si>
  <si>
    <t>Xi măng (tấn)</t>
  </si>
  <si>
    <t>So với kế hoạch tỉnh giao (%)</t>
  </si>
  <si>
    <t>UỶ BAN NHÂN DÂN TỈNH HÀ TĨNH</t>
  </si>
  <si>
    <t>CỘNG HÒA XÃ HỘI CHỦ NGHĨA VIỆT NAM</t>
  </si>
  <si>
    <t>SỞ GIAO THÔNG VẬN TẢI</t>
  </si>
  <si>
    <t xml:space="preserve"> Độc lập - Tự do - Hạnh phúc</t>
  </si>
  <si>
    <t>(Kèm theo Văn bản số ……./SGTVT-KH ngày……tháng….. Năm 2016)</t>
  </si>
  <si>
    <t>Huyện, thị xã,
 thành phố</t>
  </si>
  <si>
    <t>Khối lượng đăng ký</t>
  </si>
  <si>
    <t>Kết quả thực hiện lũy kế đến thời điểm báo cáo</t>
  </si>
  <si>
    <t>Đánh giá mức độ hoàn thành</t>
  </si>
  <si>
    <t>Tăng so với tuần trước</t>
  </si>
  <si>
    <t>Đường giao thông
(km)</t>
  </si>
  <si>
    <t>Trong đó</t>
  </si>
  <si>
    <t>Rãnh thoát nước (km)</t>
  </si>
  <si>
    <t>Tổng khối lượng xi măng 
(tấn)</t>
  </si>
  <si>
    <t>Đường giao thông (km)</t>
  </si>
  <si>
    <t>Tổng khối lượng xi măng đã nhận 
(tấn)</t>
  </si>
  <si>
    <t>Đường giao thông (%)</t>
  </si>
  <si>
    <t>Rãnh thoát nước (%)</t>
  </si>
  <si>
    <t>Đường trục xã  và đường phố (km)</t>
  </si>
  <si>
    <t>Đường trục thôn, xóm và đường ngõ phố
(km)</t>
  </si>
  <si>
    <t>Đường ngõ, xóm và đường ngách hẻm
(km)</t>
  </si>
  <si>
    <t>Đường trục chính nội đồng
(km)</t>
  </si>
  <si>
    <t>Đường vào khu chăn nuôi tập trung
(km)</t>
  </si>
  <si>
    <t>Rãnh trên đường trục xã, đường phố (km)</t>
  </si>
  <si>
    <t>Rãnh trên đường trục thôn, đường ngõ phố (km)</t>
  </si>
  <si>
    <t>BTXM</t>
  </si>
  <si>
    <t>Gạch xây</t>
  </si>
  <si>
    <t>Rãnh hình thang</t>
  </si>
  <si>
    <t>Có nắp đậy</t>
  </si>
  <si>
    <t>Không có nắp đậy</t>
  </si>
  <si>
    <t>Các xã không thuộc 30b</t>
  </si>
  <si>
    <t>Thành phố Hà Tĩnh</t>
  </si>
  <si>
    <t>Thị xã Hồng Lĩnh</t>
  </si>
  <si>
    <t>Các xã  30b</t>
  </si>
  <si>
    <t xml:space="preserve">UỶ BAN NHÂN DÂN </t>
  </si>
  <si>
    <t xml:space="preserve">         CỘNG HÒA XÃ HỘI CHỦ NGHĨA VIỆT NAM</t>
  </si>
  <si>
    <t>HUYỆN KỲ ANH</t>
  </si>
  <si>
    <t xml:space="preserve">         Độc lập - Tự do - Hạnh phúc</t>
  </si>
  <si>
    <t>Kỳ Phong</t>
  </si>
  <si>
    <t>Kỳ Bắc</t>
  </si>
  <si>
    <t>Kỳ Tiến</t>
  </si>
  <si>
    <t>Kỳ Xuân</t>
  </si>
  <si>
    <t>Kỳ Giang</t>
  </si>
  <si>
    <t>Kỳ Đồng</t>
  </si>
  <si>
    <t>Kỳ Phú</t>
  </si>
  <si>
    <t>Kỳ Khang</t>
  </si>
  <si>
    <t>Kỳ Thọ</t>
  </si>
  <si>
    <t>Kỳ Văn</t>
  </si>
  <si>
    <t>Kỳ Thư</t>
  </si>
  <si>
    <t>Kỳ Hải</t>
  </si>
  <si>
    <t>Kỳ Châu</t>
  </si>
  <si>
    <t>Kỳ Lâm</t>
  </si>
  <si>
    <t>Kỳ Sơn</t>
  </si>
  <si>
    <t>Kỳ Thượng</t>
  </si>
  <si>
    <t>Kỳ Lạc</t>
  </si>
  <si>
    <t>Kỳ Hợp</t>
  </si>
  <si>
    <t>Kỳ Trung</t>
  </si>
  <si>
    <t>Kỳ Tân</t>
  </si>
  <si>
    <t>HUYỆN CẨM XUYÊN</t>
  </si>
  <si>
    <t>Các xã</t>
  </si>
  <si>
    <t>Cẩm Thạch</t>
  </si>
  <si>
    <t>Cẩm Phúc</t>
  </si>
  <si>
    <t>Cẩm Nhượng</t>
  </si>
  <si>
    <t>Cẩm Thành</t>
  </si>
  <si>
    <t>Cẩm Lĩnh</t>
  </si>
  <si>
    <t>Cẩm Lộc</t>
  </si>
  <si>
    <t>Cẩm Quan</t>
  </si>
  <si>
    <t>Cẩm Minh</t>
  </si>
  <si>
    <t>Cẩm Sơn</t>
  </si>
  <si>
    <t>Cẩm Thăng</t>
  </si>
  <si>
    <t>Cẩm Hưng</t>
  </si>
  <si>
    <t>Cẩm Lạc</t>
  </si>
  <si>
    <t>Cẩm Hòa</t>
  </si>
  <si>
    <t>Cẩm Dương</t>
  </si>
  <si>
    <t>Cẩm Quang</t>
  </si>
  <si>
    <t>Cẩm Duệ</t>
  </si>
  <si>
    <t>Cẩm Bình</t>
  </si>
  <si>
    <t>Cẩm Mỹ</t>
  </si>
  <si>
    <t>Cẩm Nam</t>
  </si>
  <si>
    <t>Cẩm Thịnh</t>
  </si>
  <si>
    <t>Cẩm Trung</t>
  </si>
  <si>
    <t>Cẩm Vịnh</t>
  </si>
  <si>
    <t>Cẩm Yên</t>
  </si>
  <si>
    <t>Cẩm Huy</t>
  </si>
  <si>
    <t>Cẩm Hà</t>
  </si>
  <si>
    <t>Các thị trấn</t>
  </si>
  <si>
    <t>TT Cẩm Xuyên</t>
  </si>
  <si>
    <t>TT Thiên Cầm</t>
  </si>
  <si>
    <t>THÀNH PHỐ HÀ TĨNH</t>
  </si>
  <si>
    <t>M`</t>
  </si>
  <si>
    <t>J</t>
  </si>
  <si>
    <t>Thạch Trung</t>
  </si>
  <si>
    <t>Thạch Bình</t>
  </si>
  <si>
    <t>Thạch Đồng</t>
  </si>
  <si>
    <t>Thạch Môn</t>
  </si>
  <si>
    <t>Thạch Hưng</t>
  </si>
  <si>
    <t>Thạch Hạ</t>
  </si>
  <si>
    <t>Các phường</t>
  </si>
  <si>
    <t>Bắc Hà</t>
  </si>
  <si>
    <t>Nam Hà</t>
  </si>
  <si>
    <t>Tân Giang</t>
  </si>
  <si>
    <t>Trần Phú</t>
  </si>
  <si>
    <t>Đại Nài</t>
  </si>
  <si>
    <t>Hà Huy Tập</t>
  </si>
  <si>
    <t>Thạch Quý</t>
  </si>
  <si>
    <t>Thạch Linh</t>
  </si>
  <si>
    <t>Văn Yên</t>
  </si>
  <si>
    <t>Nguyễn Du</t>
  </si>
  <si>
    <t>HUYỆN THẠCH HÀ</t>
  </si>
  <si>
    <t>Thạch Kênh</t>
  </si>
  <si>
    <t>Thạch Liên</t>
  </si>
  <si>
    <t>Phù Việt</t>
  </si>
  <si>
    <t>Thạch Long</t>
  </si>
  <si>
    <t>Thạch Sơn</t>
  </si>
  <si>
    <t>Thạch Thanh</t>
  </si>
  <si>
    <t>Thạch Tiến</t>
  </si>
  <si>
    <t>Thạch Ngọc</t>
  </si>
  <si>
    <t>Việt Xuyên</t>
  </si>
  <si>
    <t>Ngọc Sơn</t>
  </si>
  <si>
    <t>Bắc Sơn</t>
  </si>
  <si>
    <t>Thạch Vĩnh</t>
  </si>
  <si>
    <t>Thạch Lưu</t>
  </si>
  <si>
    <t>Thạch Đài</t>
  </si>
  <si>
    <t>Thạch Xuân</t>
  </si>
  <si>
    <t>Thạch Hương</t>
  </si>
  <si>
    <t>Thạch Lâm</t>
  </si>
  <si>
    <t>Thạch Điền</t>
  </si>
  <si>
    <t>Nam Hương</t>
  </si>
  <si>
    <t>Thạch Tân</t>
  </si>
  <si>
    <t>Tượng Sơn</t>
  </si>
  <si>
    <t>Thạch Thắng</t>
  </si>
  <si>
    <t>Thạch Hội</t>
  </si>
  <si>
    <t>Thạch Văn</t>
  </si>
  <si>
    <t>Thạch Trị</t>
  </si>
  <si>
    <t>Thạch Lạc</t>
  </si>
  <si>
    <t>Thạch Khê</t>
  </si>
  <si>
    <t>Thạch Hải</t>
  </si>
  <si>
    <t>Thạch Bàn</t>
  </si>
  <si>
    <t>Thạch Đỉnh</t>
  </si>
  <si>
    <t>Thị trấn</t>
  </si>
  <si>
    <t>TT Thạch Hà</t>
  </si>
  <si>
    <t>HUYỆN CAN LỘC</t>
  </si>
  <si>
    <t>Thuần Thiện</t>
  </si>
  <si>
    <t>Quang Lộc</t>
  </si>
  <si>
    <t>Khánh Lộc</t>
  </si>
  <si>
    <t>Trung Lộc</t>
  </si>
  <si>
    <t>Vượng Lộc</t>
  </si>
  <si>
    <t>Kim Lộc</t>
  </si>
  <si>
    <t>Tùng Lộc</t>
  </si>
  <si>
    <t>Đồng Lộc</t>
  </si>
  <si>
    <t>Thượng Lộc</t>
  </si>
  <si>
    <t>Phú Lộc</t>
  </si>
  <si>
    <t>Gia Hanh</t>
  </si>
  <si>
    <t>Tiến Lộc</t>
  </si>
  <si>
    <t>Sơn Lộc</t>
  </si>
  <si>
    <t>Xuân Lộc</t>
  </si>
  <si>
    <t>Thanh Lộc</t>
  </si>
  <si>
    <t>Song Lộc</t>
  </si>
  <si>
    <t>Thiên Lộc</t>
  </si>
  <si>
    <t>Trường Lộc</t>
  </si>
  <si>
    <t>Yên Lộc</t>
  </si>
  <si>
    <t>Vĩnh Lộc</t>
  </si>
  <si>
    <t>Mỹ Lộc</t>
  </si>
  <si>
    <t>Thường Nga</t>
  </si>
  <si>
    <t>TT Nghèn</t>
  </si>
  <si>
    <t>THỊ XÃ HỒNG LĨNH</t>
  </si>
  <si>
    <t>Thuận Lộc</t>
  </si>
  <si>
    <t>Nam Hồng</t>
  </si>
  <si>
    <t>Đức Thuận</t>
  </si>
  <si>
    <t>Đậu Liêu</t>
  </si>
  <si>
    <t>Trung Lương</t>
  </si>
  <si>
    <t>HUYỆN NGHI XUÂN</t>
  </si>
  <si>
    <t>Xuân Hội</t>
  </si>
  <si>
    <t>Xuân Trường</t>
  </si>
  <si>
    <t>Xuân Đan</t>
  </si>
  <si>
    <t>Xuân Phổ</t>
  </si>
  <si>
    <t>Xuân Hải</t>
  </si>
  <si>
    <t>Xuân Yên</t>
  </si>
  <si>
    <t>Xuân Thành</t>
  </si>
  <si>
    <t>Cổ Đạm</t>
  </si>
  <si>
    <t>Xuân Liên</t>
  </si>
  <si>
    <t>Cương Gián</t>
  </si>
  <si>
    <t>Xuân Mỹ</t>
  </si>
  <si>
    <t>Xuân Viên</t>
  </si>
  <si>
    <t>Xuân Lĩnh</t>
  </si>
  <si>
    <t>Xuân Lam</t>
  </si>
  <si>
    <t>Xuân Hồng</t>
  </si>
  <si>
    <t>Xuân Giang</t>
  </si>
  <si>
    <t>Tiên Điền</t>
  </si>
  <si>
    <t>TT Xuân An</t>
  </si>
  <si>
    <t xml:space="preserve">TT Nghi Xuân </t>
  </si>
  <si>
    <t>HUYỆN ĐỨC THỌ</t>
  </si>
  <si>
    <t>Độc lập - Tự do - Hạnh phúc</t>
  </si>
  <si>
    <t>Đức Lạng</t>
  </si>
  <si>
    <t xml:space="preserve">Đức Đồng </t>
  </si>
  <si>
    <t>Đức Lạc</t>
  </si>
  <si>
    <t>Đức Hoà</t>
  </si>
  <si>
    <t>Đức Long</t>
  </si>
  <si>
    <t>Đức Lập</t>
  </si>
  <si>
    <t>Đức An</t>
  </si>
  <si>
    <t>Đức Dũng</t>
  </si>
  <si>
    <t>Đức Lâm</t>
  </si>
  <si>
    <t>Đức Thanh</t>
  </si>
  <si>
    <t>Đức Thuỷ</t>
  </si>
  <si>
    <t>Trung Lễ</t>
  </si>
  <si>
    <t>Đức Thịnh</t>
  </si>
  <si>
    <t>Thái Yên</t>
  </si>
  <si>
    <t>Yên Hồ</t>
  </si>
  <si>
    <t>Đức Nhân</t>
  </si>
  <si>
    <t>Bùi Xá</t>
  </si>
  <si>
    <t>Đức Yên</t>
  </si>
  <si>
    <t>Tùng ảnh</t>
  </si>
  <si>
    <t>Trường Sơn</t>
  </si>
  <si>
    <t>Liên Minh</t>
  </si>
  <si>
    <t>Đức Tùng</t>
  </si>
  <si>
    <t>Đức Châu</t>
  </si>
  <si>
    <t>Đức La</t>
  </si>
  <si>
    <t>Đức Quang</t>
  </si>
  <si>
    <t>Đức Vĩnh</t>
  </si>
  <si>
    <t>Tân Hương</t>
  </si>
  <si>
    <t>HUYỆN HƯƠNG SƠN</t>
  </si>
  <si>
    <t>Sơn Châu</t>
  </si>
  <si>
    <t>Sơn Bình</t>
  </si>
  <si>
    <t>Sơn Hà</t>
  </si>
  <si>
    <t>Sơn Trà</t>
  </si>
  <si>
    <t>Sơn Long</t>
  </si>
  <si>
    <t>Sơn Tân</t>
  </si>
  <si>
    <t>Sơn Mỹ</t>
  </si>
  <si>
    <t>Sơn Ninh</t>
  </si>
  <si>
    <t>Sơn Thịnh</t>
  </si>
  <si>
    <t>Sơn Hòa</t>
  </si>
  <si>
    <t>Sơn An</t>
  </si>
  <si>
    <t>Sơn Lễ</t>
  </si>
  <si>
    <t>Sơn Tiến</t>
  </si>
  <si>
    <t>Sơn Bằng</t>
  </si>
  <si>
    <t>Sơn Trung</t>
  </si>
  <si>
    <t>Sơn Phú</t>
  </si>
  <si>
    <t>Sơn Phúc</t>
  </si>
  <si>
    <t>Sơn Mai</t>
  </si>
  <si>
    <t>Sơn Thủy</t>
  </si>
  <si>
    <t>Sơn Trường</t>
  </si>
  <si>
    <t>Sơn Hàm</t>
  </si>
  <si>
    <t>Sơn Diệm</t>
  </si>
  <si>
    <t xml:space="preserve">Sơn Giang </t>
  </si>
  <si>
    <t>Sơn Quang</t>
  </si>
  <si>
    <t>Sơn Lâm</t>
  </si>
  <si>
    <t>Sơn Tây</t>
  </si>
  <si>
    <t>Sơn Lĩnh</t>
  </si>
  <si>
    <t>Sơn Hồng</t>
  </si>
  <si>
    <t>Sơn Kim 1</t>
  </si>
  <si>
    <t>Sơn Kim 2</t>
  </si>
  <si>
    <t>Thị trấn Phố Châu</t>
  </si>
  <si>
    <t>Thị trấn Tây Sơn</t>
  </si>
  <si>
    <t>HUYỆN VŨ QUANG</t>
  </si>
  <si>
    <t>BÁO CÁO  KẾT QUẢ THỰC HIỆN KẾ HOẠCH LÀM ĐƯỜNG GTNT, RÃNH THOÁT NƯỚC THEO CƠ CHẾ HỖ TRỢ XI MĂNG ĐẾN NGÀY 08/4/2016</t>
  </si>
  <si>
    <t>Xã Đức Giang</t>
  </si>
  <si>
    <t>Xã Đức Bồng</t>
  </si>
  <si>
    <t>Xã Đức Hương</t>
  </si>
  <si>
    <t>Xã Đức Liên</t>
  </si>
  <si>
    <t>Xã Sơn Thọ</t>
  </si>
  <si>
    <t>Xã Hương Thọ</t>
  </si>
  <si>
    <t>Xã Hương Minh</t>
  </si>
  <si>
    <t>Xã Đức Lĩnh</t>
  </si>
  <si>
    <t>TT Vũ Quang</t>
  </si>
  <si>
    <t>HUYỆN HƯƠNG KHÊ</t>
  </si>
  <si>
    <t>Hương Trạch</t>
  </si>
  <si>
    <t>Phúc Trạch</t>
  </si>
  <si>
    <t>Hương Đô</t>
  </si>
  <si>
    <t>Lộc Yên</t>
  </si>
  <si>
    <t>Hương Liên</t>
  </si>
  <si>
    <t>Hương Lâm</t>
  </si>
  <si>
    <t>Hương Trà</t>
  </si>
  <si>
    <t>Hương Xuân</t>
  </si>
  <si>
    <t>Phú Phong</t>
  </si>
  <si>
    <t>Hương Vĩnh</t>
  </si>
  <si>
    <t xml:space="preserve">Phú Gia </t>
  </si>
  <si>
    <t>Hương Long</t>
  </si>
  <si>
    <t>Hương Bình</t>
  </si>
  <si>
    <t>Hoà Hải</t>
  </si>
  <si>
    <t>Gia Phố</t>
  </si>
  <si>
    <t>Hương Giang</t>
  </si>
  <si>
    <t xml:space="preserve">Hương Thuỷ </t>
  </si>
  <si>
    <t>Phúc Đồng</t>
  </si>
  <si>
    <t>Hà Linh</t>
  </si>
  <si>
    <t>Phương Điền</t>
  </si>
  <si>
    <t>Phương Mỹ</t>
  </si>
  <si>
    <t>TT Hương Khê</t>
  </si>
  <si>
    <t>HUYỆN LỘC HÀ</t>
  </si>
  <si>
    <t>An Lộc</t>
  </si>
  <si>
    <t>Bình Lộc</t>
  </si>
  <si>
    <t>Ích Hậu</t>
  </si>
  <si>
    <t>Phù Lưu</t>
  </si>
  <si>
    <t>Hồng Lộc</t>
  </si>
  <si>
    <t>Tân Lộc</t>
  </si>
  <si>
    <t>Thịnh Lộc</t>
  </si>
  <si>
    <t>Hộ Độ</t>
  </si>
  <si>
    <t>Mai Phụ</t>
  </si>
  <si>
    <t>Thạch Mỹ</t>
  </si>
  <si>
    <t>Thạch Châu</t>
  </si>
  <si>
    <t>Thạch Bằng</t>
  </si>
  <si>
    <t>Thạch Kim</t>
  </si>
  <si>
    <t>HUYỆN THỊ XÃ KỲ ANH</t>
  </si>
  <si>
    <t>Xã Kỳ Hưng</t>
  </si>
  <si>
    <t>Xã Kỳ Hoa</t>
  </si>
  <si>
    <t>Xã Kỳ Ninh</t>
  </si>
  <si>
    <t>Xã Kỳ Hà</t>
  </si>
  <si>
    <t>Xã Kỳ Nam</t>
  </si>
  <si>
    <t>Xã Kỳ Lợi</t>
  </si>
  <si>
    <t>Kỳ Trinh</t>
  </si>
  <si>
    <t>Kỳ Liên</t>
  </si>
  <si>
    <t>Kỳ Long</t>
  </si>
  <si>
    <t>Kỳ Phương</t>
  </si>
  <si>
    <t>Kỳ Thịnh</t>
  </si>
  <si>
    <t>Sông Trí</t>
  </si>
  <si>
    <t>Biểu 5: KẾT QUẢ THỰC HIỆN KẾ HOẠCH LÀM ĐƯỜNG GTNT, RÃNH THOÁT NƯỚC THEO CƠ CHẾ HỖ TRỢ XI MĂNG ĐẾN NGÀY 19/12/2016</t>
  </si>
  <si>
    <t>Biểu 6: TỔNG HỢP KẾT QUẢ KIÊN CỐ HÓA KÊNH MƯƠNG NỘI ĐỒNG
THEO CƠ CHẾ HỖ TRỢ XI MĂNG NĂM 2016 (ĐẾN NGÀY 21/12/2016)</t>
  </si>
  <si>
    <t>Huyện, thành phố,
 thị xã</t>
  </si>
  <si>
    <t>Tổng số xã</t>
  </si>
  <si>
    <t>Theo nhóm tiêu chí</t>
  </si>
  <si>
    <t>Đã đạt chuẩn nông thôn mới</t>
  </si>
  <si>
    <t>Đạt 13-18 tiêu chí</t>
  </si>
  <si>
    <t>Đạt 10-12 tiêu chí</t>
  </si>
  <si>
    <t>Đạt 9 tiêu chí</t>
  </si>
  <si>
    <t>Đạt dưới 9 tiêu chí</t>
  </si>
  <si>
    <t>Số xã</t>
  </si>
  <si>
    <t>Tỷ lệ %</t>
  </si>
  <si>
    <t>TỔNG CỘNG</t>
  </si>
  <si>
    <t>Ghi chú: 
- Tổng số xã đạt chuẩn nông thôn mới 82 xã, riêng xã Kỳ Phương, huyện Kỳ Anh đã đạt chuẩn nông thôn mới năm 2014, đến nay đã chuyển sang phường Kỳ Phương thuộc thị xã Kỳ Anh,
- Xã Kỳ Lợi, thị xã Kỳ Anh đang thực hiện di dời, tái định cư nên chưa đưa vào đánh giá</t>
  </si>
  <si>
    <t>Tên Huyện</t>
  </si>
  <si>
    <t>19 tiêu chí theo Quyết định số 73/QĐ-UBND ngày 31/12/2014 của UBND tỉnh</t>
  </si>
  <si>
    <t>Tổng số tiêu chí đạt
đến thời điểm 20/12/2016</t>
  </si>
  <si>
    <t>Quy hoạch</t>
  </si>
  <si>
    <t>Giao thông</t>
  </si>
  <si>
    <t>Thủy lợi</t>
  </si>
  <si>
    <t>Điện</t>
  </si>
  <si>
    <t>Trường học</t>
  </si>
  <si>
    <t>Cơ sở vật chất VH</t>
  </si>
  <si>
    <t>Chợ nông thôn
 (Theo QĐ 4112)</t>
  </si>
  <si>
    <t>Bưu điện</t>
  </si>
  <si>
    <t>Nhà ở dân cư</t>
  </si>
  <si>
    <t>Thu nhập</t>
  </si>
  <si>
    <t>Hộ nghèo</t>
  </si>
  <si>
    <t>Tỷ lệ lao động có việc làm thường xuyên</t>
  </si>
  <si>
    <t>Hình thức TC SX</t>
  </si>
  <si>
    <t>Giáo dục</t>
  </si>
  <si>
    <t>Y tế</t>
  </si>
  <si>
    <t>Văn hóa</t>
  </si>
  <si>
    <t>Môi trường</t>
  </si>
  <si>
    <t>Hệ thống TC CT, XH</t>
  </si>
  <si>
    <t>An ninh trật tự XH</t>
  </si>
  <si>
    <t>I. HUYỆN HƯƠNG SƠN</t>
  </si>
  <si>
    <t>Đạt</t>
  </si>
  <si>
    <t>KQH</t>
  </si>
  <si>
    <t>CĐ</t>
  </si>
  <si>
    <t xml:space="preserve">Sơn Hà </t>
  </si>
  <si>
    <t>II. HUYỆN VŨ QUANG</t>
  </si>
  <si>
    <t>Hương Minh</t>
  </si>
  <si>
    <t>Ân Phú</t>
  </si>
  <si>
    <t xml:space="preserve">Đức Lĩnh </t>
  </si>
  <si>
    <t xml:space="preserve">Đức Giang </t>
  </si>
  <si>
    <t>Đức Hương</t>
  </si>
  <si>
    <t>Sơn Thọ</t>
  </si>
  <si>
    <t>Đức Bồng</t>
  </si>
  <si>
    <t>Hương Thọ</t>
  </si>
  <si>
    <t>Đức Liên</t>
  </si>
  <si>
    <t>Hương Quang</t>
  </si>
  <si>
    <t>Hương Điền</t>
  </si>
  <si>
    <t>III. HUYỆN CẨM XUYÊN</t>
  </si>
  <si>
    <t>Cẩm Thăng</t>
  </si>
  <si>
    <t>Cẩm Lạc</t>
  </si>
  <si>
    <t>Cẩm Thành</t>
  </si>
  <si>
    <t>Cẩm Minh</t>
  </si>
  <si>
    <t>Cẩm Phúc</t>
  </si>
  <si>
    <t>Cẩm Nhượng</t>
  </si>
  <si>
    <t>Cẩm Hưng</t>
  </si>
  <si>
    <t xml:space="preserve">Cẩm Quan </t>
  </si>
  <si>
    <t>Cẩm Sơn</t>
  </si>
  <si>
    <t>Cẩm Hòa</t>
  </si>
  <si>
    <t>Cẩm Dương</t>
  </si>
  <si>
    <t>Cẩm Thạch</t>
  </si>
  <si>
    <t>Cẩm Lộc</t>
  </si>
  <si>
    <t>Cẩm Lĩnh</t>
  </si>
  <si>
    <t>IV. HUYỆN KỲ ANH</t>
  </si>
  <si>
    <t xml:space="preserve"> Kỳ Xuân</t>
  </si>
  <si>
    <t xml:space="preserve"> Kỳ Tiến</t>
  </si>
  <si>
    <t xml:space="preserve"> Kỳ Thọ</t>
  </si>
  <si>
    <t xml:space="preserve"> Kỳ Phong</t>
  </si>
  <si>
    <t xml:space="preserve"> Kỳ Hợp</t>
  </si>
  <si>
    <t>V. TX Kỳ Anh</t>
  </si>
  <si>
    <t>Kỳ Hưng</t>
  </si>
  <si>
    <t>Kỳ Ninh</t>
  </si>
  <si>
    <t>Kỳ Hà</t>
  </si>
  <si>
    <t>Kỳ Hoa</t>
  </si>
  <si>
    <t>Kỳ Nam</t>
  </si>
  <si>
    <t>VI. HUYỆN LỘC HÀ</t>
  </si>
  <si>
    <t xml:space="preserve"> -</t>
  </si>
  <si>
    <t>VII. HUYỆN THẠCH HÀ</t>
  </si>
  <si>
    <t>Thạch Long</t>
  </si>
  <si>
    <t>Thạch Kênh</t>
  </si>
  <si>
    <t>Thạch Đài</t>
  </si>
  <si>
    <t>Thạch Khê</t>
  </si>
  <si>
    <t>Phù Việt</t>
  </si>
  <si>
    <t>Thạch Tân</t>
  </si>
  <si>
    <t>Tượng Sơn</t>
  </si>
  <si>
    <t>Thạch Liên</t>
  </si>
  <si>
    <t>Việt Xuyên</t>
  </si>
  <si>
    <t>Thạch Sơn</t>
  </si>
  <si>
    <t>Thạch Thanh</t>
  </si>
  <si>
    <t>Thạch Tiến</t>
  </si>
  <si>
    <t>Thạch Lưu</t>
  </si>
  <si>
    <t>Thạch Điền</t>
  </si>
  <si>
    <t>Thạch Lạc</t>
  </si>
  <si>
    <t>Thạch Thắng</t>
  </si>
  <si>
    <t>Thạch Ngọc</t>
  </si>
  <si>
    <t>Ngọc Sơn</t>
  </si>
  <si>
    <t>Thạch Vĩnh</t>
  </si>
  <si>
    <t>Thạch Bàn</t>
  </si>
  <si>
    <t>Thạch Hải</t>
  </si>
  <si>
    <t>Thạch Xuân</t>
  </si>
  <si>
    <t>Thạch Hương</t>
  </si>
  <si>
    <t>Thạch Hội</t>
  </si>
  <si>
    <t>Bắc Sơn</t>
  </si>
  <si>
    <t>Thạch Trị</t>
  </si>
  <si>
    <t>Thạch Lâm</t>
  </si>
  <si>
    <t>Thạch Đỉnh</t>
  </si>
  <si>
    <t>VIII. TP HÀ TĨNH</t>
  </si>
  <si>
    <t>IX. TX HỒNG LĨNH</t>
  </si>
  <si>
    <t>Thuận Lộc</t>
  </si>
  <si>
    <t>X. HUYỆN ĐỨC THỌ</t>
  </si>
  <si>
    <t>Đức Thủy</t>
  </si>
  <si>
    <t>Tùng Ảnh</t>
  </si>
  <si>
    <t>Đức Hòa</t>
  </si>
  <si>
    <t>Đức Đồng</t>
  </si>
  <si>
    <t>XI. HUYỆN NGHI XUÂN</t>
  </si>
  <si>
    <t>XII. HƯƠNG KHÊ</t>
  </si>
  <si>
    <t>Phúc Trạch</t>
  </si>
  <si>
    <t>Hương Trà</t>
  </si>
  <si>
    <t>Phú Phong</t>
  </si>
  <si>
    <t>Gia Phố</t>
  </si>
  <si>
    <t>Phú Gia</t>
  </si>
  <si>
    <t>Đạt</t>
  </si>
  <si>
    <t>Hương Trạch</t>
  </si>
  <si>
    <t>Hương Vĩnh</t>
  </si>
  <si>
    <t>Hương Bình</t>
  </si>
  <si>
    <t>Hương Thủy</t>
  </si>
  <si>
    <t>Phúc Đồng</t>
  </si>
  <si>
    <t>Phương Điền</t>
  </si>
  <si>
    <t>Phương Mỹ</t>
  </si>
  <si>
    <t>Hà Linh</t>
  </si>
  <si>
    <t>Lộc Yên</t>
  </si>
  <si>
    <t>Hòa Hải</t>
  </si>
  <si>
    <t>XIII. HUYỆN CAN LỘC</t>
  </si>
  <si>
    <t>QH 2025</t>
  </si>
  <si>
    <t>I. HUYỆN CẨM XUYÊN</t>
  </si>
  <si>
    <t>II. HƯƠNG KHÊ</t>
  </si>
  <si>
    <t>III. HUYỆN NGHI XUÂN</t>
  </si>
  <si>
    <t>IV. TP HÀ TĨNH</t>
  </si>
  <si>
    <t>V. HUYỆN CAN LỘC</t>
  </si>
  <si>
    <t>6/21 xã: Hương Đô, Hương Giang, Phúc Đồng, Hòa Hải, Phương Điền và Hà Linh</t>
  </si>
  <si>
    <t>7/21 xã: Kỳ Thư, Kỳ Châu, Kỳ Hải, Kỳ Lâm, Kỳ Phú, Kỳ Lạc và Kỳ Thượng</t>
  </si>
  <si>
    <t>4/27 xã: Đức Lâm, Bùi Xá, Trung Lễ và Đức Yên</t>
  </si>
  <si>
    <t>4/6 xã: Thạch Hạ, Thạch Bình, Thạch Hưng và Thạch Đồng</t>
  </si>
  <si>
    <t>7/13 xã: Thạch Châu, Thạch Bằng, Thạch Kim, Mai Phụ, Tân Lộc, Thịnh Lộc và An Lộc</t>
  </si>
  <si>
    <t>5/30 xã: Sơn Châu, Sơn Tây, Sơn Kim I, Sơn Phú và Sơn Tiến</t>
  </si>
  <si>
    <t>66 xã</t>
  </si>
  <si>
    <t xml:space="preserve">2/30 xã: Phù Việt và Thạch Tiến, </t>
  </si>
  <si>
    <t>8/25 xã: Cẩm Bình, Cẩm Dương, Cẩm Hòa, Cẩm Lĩnh, Cẩm Lộc, Cẩm Thăng, Cẩm Yên và Cẩm Thịnh</t>
  </si>
  <si>
    <t>84 xã</t>
  </si>
  <si>
    <t>6/17 xã: Xuân Mỹ, Xuân Thành, Xuân Trường, Xuân Hải, Xuân Yên và Xuân Liên</t>
  </si>
  <si>
    <t>99 xã</t>
  </si>
  <si>
    <t>Tổng số THT giai đoạn 2011-2015</t>
  </si>
  <si>
    <t>Tổng số HTX giai đoạn
 2011-2015</t>
  </si>
  <si>
    <t>Tổng số DN giai đoạn 
2011-2015</t>
  </si>
  <si>
    <t>Trong đó: mô hình sản xuất các sản phẩm 
nông nghiệp hàng hóa chủ lực</t>
  </si>
  <si>
    <t xml:space="preserve">BIỂU 1: TỔNG HỢP CÁC MÔ HÌNH SẢN XUẤT, KINH DOANH CÓ HIỆU QUẢ  THÀNH LẬP TRONG NĂM 2016 </t>
  </si>
  <si>
    <r>
      <t xml:space="preserve">BIỂU 7.2:  DANH SÁCH XÃ ĐẠT 9 TIÊU CHÍ NÔNG THÔN MỚI TOÀN TỈNH ĐẾN NGÀY 20/12/2016 
</t>
    </r>
    <r>
      <rPr>
        <i/>
        <sz val="12"/>
        <rFont val="Times New Roman"/>
        <family val="1"/>
        <charset val="163"/>
      </rPr>
      <t xml:space="preserve">(Theo báo cáo của các huyện, thành phố, thị xã)
</t>
    </r>
  </si>
  <si>
    <r>
      <t xml:space="preserve">BIỂU 7.1:  KẾT QUẢ THỰC HIỆN CÁC TIÊU CHÍ NÔNG THÔN MỚI TOÀN TỈNH ĐẾN NGÀY 20/12/2016 
</t>
    </r>
    <r>
      <rPr>
        <i/>
        <sz val="12"/>
        <rFont val="Times New Roman"/>
        <family val="1"/>
        <charset val="163"/>
      </rPr>
      <t xml:space="preserve">(Theo báo cáo của các huyện, thành phố, thị xã)
</t>
    </r>
  </si>
  <si>
    <t xml:space="preserve">BIỂU 7: TỔNG HỢP SỐ XÃ ĐẠT CHUẨN THEO NHÓM TIÊU CHÍ NĂM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</si>
</sst>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41" formatCode="_-* #,##0\ _₫_-;\-* #,##0\ _₫_-;_-* &quot;-&quot;\ _₫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000"/>
    <numFmt numFmtId="172" formatCode="&quot;?&quot;#,##0;&quot;?&quot;\-#,##0"/>
    <numFmt numFmtId="173" formatCode="_-* #,##0_-;\-* #,##0_-;_-* &quot;-&quot;_-;_-@_-"/>
    <numFmt numFmtId="174" formatCode="&quot;$&quot;#,##0;[Red]\-&quot;$&quot;#,##0"/>
    <numFmt numFmtId="175" formatCode="&quot;\&quot;#,##0.00;[Red]&quot;\&quot;\-#,##0.00"/>
    <numFmt numFmtId="176" formatCode="&quot;\&quot;#,##0;[Red]&quot;\&quot;\-#,##0"/>
    <numFmt numFmtId="177" formatCode="#,##0\ &quot;F&quot;;[Red]\-#,##0\ &quot;F&quot;"/>
    <numFmt numFmtId="178" formatCode="#,##0.00\ &quot;F&quot;;\-#,##0.00\ &quot;F&quot;"/>
    <numFmt numFmtId="179" formatCode="0.000"/>
    <numFmt numFmtId="180" formatCode="\$#,##0\ ;\(\$#,##0\)"/>
    <numFmt numFmtId="181" formatCode="_-&quot;£&quot;* #,##0_-;\-&quot;£&quot;* #,##0_-;_-&quot;£&quot;* &quot;-&quot;_-;_-@_-"/>
    <numFmt numFmtId="182" formatCode="#,##0\ &quot;kr&quot;;\-#,##0\ &quot;kr&quot;"/>
    <numFmt numFmtId="183" formatCode="_-* #,##0.00_-;\-* #,##0.00_-;_-* &quot;-&quot;??_-;_-@_-"/>
    <numFmt numFmtId="184" formatCode="_-&quot;$&quot;* #,##0_-;\-&quot;$&quot;* #,##0_-;_-&quot;$&quot;* &quot;-&quot;_-;_-@_-"/>
    <numFmt numFmtId="185" formatCode="_-&quot;$&quot;* #,##0.00_-;\-&quot;$&quot;* #,##0.00_-;_-&quot;$&quot;* &quot;-&quot;??_-;_-@_-"/>
    <numFmt numFmtId="186" formatCode="_(* #,##0_);_(* \(#,##0\);_(* &quot;-&quot;??_);_(@_)"/>
    <numFmt numFmtId="187" formatCode="0.0"/>
    <numFmt numFmtId="188" formatCode="0.0%"/>
    <numFmt numFmtId="189" formatCode="#,##0.0"/>
    <numFmt numFmtId="190" formatCode="_-&quot;Z$&quot;* #,##0_-;\-&quot;Z$&quot;* #,##0_-;_-&quot;Z$&quot;* &quot;-&quot;_-;_-@_-"/>
    <numFmt numFmtId="191" formatCode="##.##%"/>
    <numFmt numFmtId="192" formatCode="_ * #,##0.00_ ;_ * \-#,##0.00_ ;_ * &quot;-&quot;??_ ;_ @_ "/>
    <numFmt numFmtId="193" formatCode="_ * #,##0_ ;_ * \-#,##0_ ;_ * &quot;-&quot;_ ;_ @_ "/>
    <numFmt numFmtId="194" formatCode="_-* #,##0\ _F_-;\-* #,##0\ _F_-;_-* &quot;-&quot;\ _F_-;_-@_-"/>
    <numFmt numFmtId="195" formatCode="_(&quot;Z$&quot;* #,##0_);_(&quot;Z$&quot;* \(#,##0\);_(&quot;Z$&quot;* &quot;-&quot;_);_(@_)"/>
    <numFmt numFmtId="196" formatCode="_-&quot;ñ&quot;* #,##0_-;\-&quot;ñ&quot;* #,##0_-;_-&quot;ñ&quot;* &quot;-&quot;_-;_-@_-"/>
    <numFmt numFmtId="197" formatCode="_-* #,##0.00\ _F_-;\-* #,##0.00\ _F_-;_-* &quot;-&quot;??\ _F_-;_-@_-"/>
    <numFmt numFmtId="198" formatCode="_-* #,##0.00\ _ñ_-;\-* #,##0.00\ _ñ_-;_-* &quot;-&quot;??\ _ñ_-;_-@_-"/>
    <numFmt numFmtId="199" formatCode="_-* #,##0.00\ _V_N_D_-;\-* #,##0.00\ _V_N_D_-;_-* &quot;-&quot;??\ _V_N_D_-;_-@_-"/>
    <numFmt numFmtId="200" formatCode="_(&quot;$&quot;\ * #,##0_);_(&quot;$&quot;\ * \(#,##0\);_(&quot;$&quot;\ * &quot;-&quot;_);_(@_)"/>
    <numFmt numFmtId="201" formatCode="_-* #,##0\ &quot;F&quot;_-;\-* #,##0\ &quot;F&quot;_-;_-* &quot;-&quot;\ &quot;F&quot;_-;_-@_-"/>
    <numFmt numFmtId="202" formatCode="_-* #,##0\ &quot;ñ&quot;_-;\-* #,##0\ &quot;ñ&quot;_-;_-* &quot;-&quot;\ &quot;ñ&quot;_-;_-@_-"/>
    <numFmt numFmtId="203" formatCode="_-* #,##0\ _ñ_-;\-* #,##0\ _ñ_-;_-* &quot;-&quot;\ _ñ_-;_-@_-"/>
    <numFmt numFmtId="204" formatCode="_-* #,##0\ _V_N_D_-;\-* #,##0\ _V_N_D_-;_-* &quot;-&quot;\ _V_N_D_-;_-@_-"/>
    <numFmt numFmtId="205" formatCode="_ &quot;\&quot;* #,##0_ ;_ &quot;\&quot;* \-#,##0_ ;_ &quot;\&quot;* &quot;-&quot;_ ;_ @_ "/>
    <numFmt numFmtId="206" formatCode="###0"/>
    <numFmt numFmtId="207" formatCode="&quot;Z$&quot;#,##0_);[Red]\(&quot;Z$&quot;#,##0\)"/>
    <numFmt numFmtId="208" formatCode="_-&quot;Z$&quot;* #,##0.00_-;\-&quot;Z$&quot;* #,##0.00_-;_-&quot;Z$&quot;* &quot;-&quot;??_-;_-@_-"/>
    <numFmt numFmtId="209" formatCode="&quot;Z$&quot;#&quot;Z$&quot;##0_);\(&quot;Z$&quot;#&quot;Z$&quot;##0\)"/>
    <numFmt numFmtId="210" formatCode="_(&quot;RM&quot;* #,##0.00_);_(&quot;RM&quot;* \(#,##0.00\);_(&quot;RM&quot;* &quot;-&quot;??_);_(@_)"/>
    <numFmt numFmtId="211" formatCode="_(&quot;RM&quot;* #,##0_);_(&quot;RM&quot;* \(#,##0\);_(&quot;RM&quot;* &quot;-&quot;_);_(@_)"/>
    <numFmt numFmtId="212" formatCode="#,##0.000000"/>
    <numFmt numFmtId="213" formatCode="_ &quot;\&quot;* #,##0.00_ ;_ &quot;\&quot;* \-#,##0.00_ ;_ &quot;\&quot;* &quot;-&quot;??_ ;_ @_ "/>
    <numFmt numFmtId="214" formatCode="_(* #,##0.00000000_);_(* \(#,##0.00000000\);_(* &quot;-&quot;??_);_(@_)"/>
    <numFmt numFmtId="215" formatCode="#,##0.0_);\(#,##0.0\)"/>
    <numFmt numFmtId="216" formatCode="&quot;£&quot;#,##0.00"/>
    <numFmt numFmtId="217" formatCode="_ * #,##0.00_)&quot;£&quot;_ ;_ * \(#,##0.00\)&quot;£&quot;_ ;_ * &quot;-&quot;??_)&quot;£&quot;_ ;_ @_ "/>
    <numFmt numFmtId="218" formatCode="0.0%;\(0.0%\)"/>
    <numFmt numFmtId="219" formatCode="##,###.##"/>
    <numFmt numFmtId="220" formatCode="_-* #,##0.00\ &quot;F&quot;_-;\-* #,##0.00\ &quot;F&quot;_-;_-* &quot;-&quot;??\ &quot;F&quot;_-;_-@_-"/>
    <numFmt numFmtId="221" formatCode="0.000_)"/>
    <numFmt numFmtId="222" formatCode="#,##0;\(#,##0\)"/>
    <numFmt numFmtId="223" formatCode="#,##0.000"/>
    <numFmt numFmtId="224" formatCode="_ &quot;R&quot;\ * #,##0_ ;_ &quot;R&quot;\ * \-#,##0_ ;_ &quot;R&quot;\ * &quot;-&quot;_ ;_ @_ "/>
    <numFmt numFmtId="225" formatCode="&quot;Z$&quot;#,##0.000_);[Red]\(&quot;Z$&quot;#,##0.00\)"/>
    <numFmt numFmtId="226" formatCode="##,##0%"/>
    <numFmt numFmtId="227" formatCode="#,###%"/>
    <numFmt numFmtId="228" formatCode="##.##"/>
    <numFmt numFmtId="229" formatCode="###,###"/>
    <numFmt numFmtId="230" formatCode="###.###"/>
    <numFmt numFmtId="231" formatCode="##,###.####"/>
    <numFmt numFmtId="232" formatCode="\t0.00%"/>
    <numFmt numFmtId="233" formatCode="#0.##"/>
    <numFmt numFmtId="234" formatCode="##,##0.##"/>
    <numFmt numFmtId="235" formatCode="_(\§\g\ #,##0_);_(\§\g\ \(#,##0\);_(\§\g\ &quot;-&quot;??_);_(@_)"/>
    <numFmt numFmtId="236" formatCode="_(\§\g\ #,##0_);_(\§\g\ \(#,##0\);_(\§\g\ &quot;-&quot;_);_(@_)"/>
    <numFmt numFmtId="237" formatCode="_-&quot;F&quot;\ * #,##0.0_-;_-&quot;F&quot;\ * #,##0.0\-;_-&quot;F&quot;\ * &quot;-&quot;??_-;_-@_-"/>
    <numFmt numFmtId="238" formatCode="&quot;\&quot;#,##0.00;[Red]&quot;\&quot;&quot;\&quot;&quot;\&quot;&quot;\&quot;&quot;\&quot;&quot;\&quot;\-#,##0.00"/>
    <numFmt numFmtId="239" formatCode="\t#\ ??/??"/>
    <numFmt numFmtId="240" formatCode="\§\g#,##0_);\(\§\g#,##0\)"/>
    <numFmt numFmtId="241" formatCode="_-[$€-2]* #,##0.00_-;\-[$€-2]* #,##0.00_-;_-[$€-2]* &quot;-&quot;??_-"/>
    <numFmt numFmtId="242" formatCode="_ * #,##0.00_)_d_ ;_ * \(#,##0.00\)_d_ ;_ * &quot;-&quot;??_)_d_ ;_ @_ "/>
    <numFmt numFmtId="243" formatCode="#,##0_);\-#,##0_)"/>
    <numFmt numFmtId="244" formatCode="#."/>
    <numFmt numFmtId="245" formatCode="&quot;Z$&quot;#,##0_);\(&quot;Z$&quot;#,##0\)"/>
    <numFmt numFmtId="246" formatCode="#,##0\ &quot;$&quot;_);\(#,##0\ &quot;$&quot;\)"/>
    <numFmt numFmtId="247" formatCode="mmm"/>
    <numFmt numFmtId="248" formatCode="&quot;R&quot;\ #,##0.00;&quot;R&quot;\ \-#,##0.00"/>
    <numFmt numFmtId="249" formatCode="&quot;D&quot;&quot;D&quot;&quot;D&quot;\ mmm\ &quot;D&quot;__"/>
    <numFmt numFmtId="250" formatCode="#,##0\ &quot;$&quot;_);[Red]\(#,##0\ &quot;$&quot;\)"/>
    <numFmt numFmtId="251" formatCode="&quot;$&quot;###,0&quot;.&quot;00_);[Red]\(&quot;$&quot;###,0&quot;.&quot;00\)"/>
    <numFmt numFmtId="252" formatCode="&quot;\&quot;#,##0;[Red]\-&quot;\&quot;#,##0"/>
    <numFmt numFmtId="253" formatCode="&quot;\&quot;#,##0.00;\-&quot;\&quot;#,##0.00"/>
    <numFmt numFmtId="254" formatCode="#,##0.00_);\-#,##0.00_)"/>
    <numFmt numFmtId="255" formatCode="#,##0.000_);\(#,##0.000\)"/>
    <numFmt numFmtId="256" formatCode="#"/>
    <numFmt numFmtId="257" formatCode="&quot;¡Ì&quot;#,##0;[Red]\-&quot;¡Ì&quot;#,##0"/>
    <numFmt numFmtId="258" formatCode="_(&quot;.&quot;* #&quot;Z$&quot;##0_);_(&quot;.&quot;* \(#&quot;Z$&quot;##0\);_(&quot;.&quot;* &quot;-&quot;_);_(@_)"/>
    <numFmt numFmtId="259" formatCode="&quot;Z$&quot;#&quot;Z$&quot;##0_);[Red]\(&quot;Z$&quot;#&quot;Z$&quot;##0\)"/>
    <numFmt numFmtId="260" formatCode="#,##0.00\ &quot;F&quot;;[Red]\-#,##0.00\ &quot;F&quot;"/>
    <numFmt numFmtId="261" formatCode="&quot;.&quot;#,##0.00_);[Red]\(&quot;.&quot;#,##0.00\)"/>
    <numFmt numFmtId="262" formatCode="#&quot;,&quot;##0.00\ &quot;F&quot;;[Red]\-#&quot;,&quot;##0.00\ &quot;F&quot;"/>
    <numFmt numFmtId="263" formatCode="&quot;£&quot;#,##0;[Red]\-&quot;£&quot;#,##0"/>
    <numFmt numFmtId="264" formatCode="_-* #,##0.0\ _F_-;\-* #,##0.0\ _F_-;_-* &quot;-&quot;??\ _F_-;_-@_-"/>
    <numFmt numFmtId="265" formatCode="_-&quot;£&quot;* #,##0.00_-;\-&quot;£&quot;* #,##0.00_-;_-&quot;£&quot;* &quot;-&quot;??_-;_-@_-"/>
    <numFmt numFmtId="266" formatCode="_(* #,##0.00_ \ \ *);_(* \(#,##0.00\);_(* &quot;-&quot;??_);_(@_)"/>
    <numFmt numFmtId="267" formatCode="0.00000000000E+00;\?"/>
    <numFmt numFmtId="268" formatCode="#,##0\ &quot;FB&quot;;[Red]\-#,##0\ &quot;FB&quot;"/>
    <numFmt numFmtId="269" formatCode="#,##0.00\ \ \ \ "/>
    <numFmt numFmtId="270" formatCode="&quot;£&quot;#,##0;\-&quot;£&quot;#,##0"/>
    <numFmt numFmtId="271" formatCode="&quot;Rp&quot;#,##0.00_);[Red]\(&quot;Rp&quot;#,##0.00\)"/>
    <numFmt numFmtId="272" formatCode="_-* ###,0&quot;.&quot;00\ _F_B_-;\-* ###,0&quot;.&quot;00\ _F_B_-;_-* &quot;-&quot;??\ _F_B_-;_-@_-"/>
    <numFmt numFmtId="273" formatCode="&quot;\&quot;#,##0;&quot;\&quot;\-#,##0"/>
    <numFmt numFmtId="274" formatCode="#,##0.00\ \ "/>
    <numFmt numFmtId="275" formatCode="#,##0\ &quot;F&quot;;\-#,##0\ &quot;F&quot;"/>
    <numFmt numFmtId="276" formatCode="#,##0.0\½"/>
    <numFmt numFmtId="277" formatCode="_-* ###,0&quot;.&quot;00_-;\-* ###,0&quot;.&quot;00_-;_-* &quot;-&quot;??_-;_-@_-"/>
    <numFmt numFmtId="278" formatCode="_-* #,##0\ _F_-;\-* #,##0\ _F_-;_-* &quot;-&quot;??\ _F_-;_-@_-"/>
    <numFmt numFmtId="279" formatCode="&quot;$&quot;#,##0;\-&quot;$&quot;#,##0"/>
    <numFmt numFmtId="280" formatCode="0.000\ "/>
    <numFmt numFmtId="281" formatCode="#,##0\ &quot;Lt&quot;;[Red]\-#,##0\ &quot;Lt&quot;"/>
    <numFmt numFmtId="282" formatCode="&quot;\&quot;#,##0;&quot;\&quot;&quot;\&quot;&quot;\&quot;&quot;\&quot;&quot;\&quot;&quot;\&quot;&quot;\&quot;\-#,##0"/>
    <numFmt numFmtId="283" formatCode="_(&quot;Z$&quot;* #,##0.00_);_(&quot;Z$&quot;* \(#,##0.00\);_(&quot;Z$&quot;* &quot;-&quot;??_);_(@_)"/>
    <numFmt numFmtId="284" formatCode="_-* #,##0\ _₫_-;\-* #,##0\ _₫_-;_-* &quot;-&quot;??\ _₫_-;_-@_-"/>
    <numFmt numFmtId="285" formatCode="\$#,##0_);\(\$#,##0\)"/>
    <numFmt numFmtId="286" formatCode="#,###"/>
    <numFmt numFmtId="287" formatCode="_(* #,##0.0_);_(* \(#,##0.0\);_(* &quot;-&quot;_);_(@_)"/>
    <numFmt numFmtId="288" formatCode="_(* #,##0.00_);_(* \(#,##0.00\);_(* &quot;-&quot;_);_(@_)"/>
    <numFmt numFmtId="289" formatCode="_(* #,##0.000_);_(* \(#,##0.000\);_(* &quot;-&quot;??_);_(@_)"/>
  </numFmts>
  <fonts count="268">
    <font>
      <sz val="10"/>
      <color theme="1"/>
      <name val=".VnTime"/>
      <family val="2"/>
    </font>
    <font>
      <sz val="11"/>
      <color indexed="8"/>
      <name val="Calibri"/>
      <family val="2"/>
    </font>
    <font>
      <sz val="11"/>
      <color indexed="8"/>
      <name val="Calibri"/>
      <family val="2"/>
      <charset val="163"/>
    </font>
    <font>
      <sz val="12"/>
      <name val="Times New Roman"/>
      <family val="1"/>
    </font>
    <font>
      <sz val="11"/>
      <name val="??"/>
      <family val="3"/>
    </font>
    <font>
      <sz val="12"/>
      <name val="????"/>
      <charset val="136"/>
    </font>
    <font>
      <sz val="12"/>
      <name val="???"/>
      <family val="3"/>
    </font>
    <font>
      <sz val="12"/>
      <name val="Courier"/>
      <family val="3"/>
    </font>
    <font>
      <sz val="11"/>
      <name val="–¾’©"/>
      <family val="1"/>
      <charset val="128"/>
    </font>
    <font>
      <b/>
      <u/>
      <sz val="14"/>
      <color indexed="8"/>
      <name val=".VnBook-AntiquaH"/>
      <family val="2"/>
    </font>
    <font>
      <sz val="11"/>
      <name val=".VnTime"/>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¹ÙÅÁÃ¼"/>
      <family val="1"/>
      <charset val="129"/>
    </font>
    <font>
      <sz val="10"/>
      <name val="Arial"/>
      <family val="2"/>
      <charset val="163"/>
    </font>
    <font>
      <sz val="11"/>
      <color indexed="20"/>
      <name val="Calibri"/>
      <family val="2"/>
    </font>
    <font>
      <sz val="12"/>
      <name val="Helv"/>
      <family val="2"/>
    </font>
    <font>
      <sz val="10"/>
      <name val="±¼¸²A¼"/>
      <family val="3"/>
      <charset val="129"/>
    </font>
    <font>
      <sz val="10"/>
      <name val="Arial"/>
      <family val="2"/>
    </font>
    <font>
      <b/>
      <sz val="11"/>
      <color indexed="52"/>
      <name val="Calibri"/>
      <family val="2"/>
    </font>
    <font>
      <sz val="12"/>
      <name val=".VnTime"/>
      <family val="2"/>
    </font>
    <font>
      <sz val="10"/>
      <name val=".VnTime"/>
      <family val="2"/>
    </font>
    <font>
      <sz val="12"/>
      <name val="Times New Roman"/>
      <family val="1"/>
      <charset val="163"/>
    </font>
    <font>
      <sz val="11"/>
      <color indexed="8"/>
      <name val="Times New Roman"/>
      <family val="2"/>
    </font>
    <font>
      <b/>
      <sz val="11"/>
      <color indexed="9"/>
      <name val="Calibri"/>
      <family val="2"/>
    </font>
    <font>
      <i/>
      <sz val="11"/>
      <color indexed="23"/>
      <name val="Calibri"/>
      <family val="2"/>
    </font>
    <font>
      <sz val="11"/>
      <color indexed="17"/>
      <name val="Calibri"/>
      <family val="2"/>
    </font>
    <font>
      <sz val="8"/>
      <name val="Arial"/>
      <family val="2"/>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VnTimeH"/>
      <family val="2"/>
    </font>
    <font>
      <sz val="11"/>
      <color indexed="62"/>
      <name val="Calibri"/>
      <family val="2"/>
    </font>
    <font>
      <sz val="11"/>
      <color indexed="52"/>
      <name val="Calibri"/>
      <family val="2"/>
    </font>
    <font>
      <sz val="12"/>
      <name val="Arial"/>
      <family val="2"/>
    </font>
    <font>
      <sz val="11"/>
      <color indexed="60"/>
      <name val="Calibri"/>
      <family val="2"/>
    </font>
    <font>
      <sz val="14"/>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VnArial"/>
      <family val="2"/>
    </font>
    <font>
      <sz val="10"/>
      <name val=" "/>
      <family val="1"/>
      <charset val="136"/>
    </font>
    <font>
      <sz val="14"/>
      <name val="뼻뮝"/>
      <family val="3"/>
    </font>
    <font>
      <sz val="12"/>
      <name val="바탕체"/>
      <family val="3"/>
    </font>
    <font>
      <sz val="12"/>
      <name val="뼻뮝"/>
      <family val="3"/>
    </font>
    <font>
      <sz val="9"/>
      <name val="Arial"/>
      <family val="2"/>
    </font>
    <font>
      <b/>
      <sz val="12"/>
      <name val="Times New Roman"/>
      <family val="1"/>
    </font>
    <font>
      <sz val="10"/>
      <color indexed="8"/>
      <name val=".VnTime"/>
      <family val="2"/>
    </font>
    <font>
      <sz val="12"/>
      <name val="Times New Roman"/>
      <family val="1"/>
    </font>
    <font>
      <sz val="13"/>
      <color indexed="8"/>
      <name val="Times New Roman"/>
      <family val="2"/>
    </font>
    <font>
      <sz val="13"/>
      <color indexed="9"/>
      <name val="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9"/>
      <name val="Times New Roman"/>
      <family val="2"/>
    </font>
    <font>
      <sz val="13"/>
      <color indexed="52"/>
      <name val="Times New Roman"/>
      <family val="2"/>
    </font>
    <font>
      <b/>
      <sz val="13"/>
      <color indexed="52"/>
      <name val="Times New Roman"/>
      <family val="2"/>
    </font>
    <font>
      <b/>
      <sz val="13"/>
      <color indexed="8"/>
      <name val="Times New Roman"/>
      <family val="2"/>
    </font>
    <font>
      <sz val="13"/>
      <color indexed="17"/>
      <name val="Times New Roman"/>
      <family val="2"/>
    </font>
    <font>
      <sz val="13"/>
      <color indexed="60"/>
      <name val="Times New Roman"/>
      <family val="2"/>
    </font>
    <font>
      <sz val="13"/>
      <color indexed="10"/>
      <name val="Times New Roman"/>
      <family val="2"/>
    </font>
    <font>
      <i/>
      <sz val="13"/>
      <color indexed="23"/>
      <name val="Times New Roman"/>
      <family val="2"/>
    </font>
    <font>
      <sz val="13"/>
      <color indexed="20"/>
      <name val="Times New Roman"/>
      <family val="2"/>
    </font>
    <font>
      <sz val="10"/>
      <color indexed="8"/>
      <name val=".VnTime"/>
      <family val="2"/>
    </font>
    <font>
      <sz val="11"/>
      <color indexed="8"/>
      <name val="Calibri"/>
      <family val="2"/>
      <charset val="163"/>
    </font>
    <font>
      <sz val="10"/>
      <name val="Arial"/>
      <family val="2"/>
    </font>
    <font>
      <b/>
      <sz val="11"/>
      <name val="Times New Roman"/>
      <family val="1"/>
    </font>
    <font>
      <sz val="12"/>
      <name val="VNI-Times"/>
    </font>
    <font>
      <sz val="10"/>
      <name val=".VnArial"/>
      <family val="2"/>
    </font>
    <font>
      <sz val="12"/>
      <name val="돋움체"/>
      <family val="3"/>
      <charset val="129"/>
    </font>
    <font>
      <b/>
      <sz val="10"/>
      <name val="SVNtimes new roman"/>
      <family val="2"/>
    </font>
    <font>
      <sz val="12"/>
      <name val="VNtimes New Roman"/>
      <family val="2"/>
    </font>
    <font>
      <sz val="10"/>
      <name val="AngsanaUPC"/>
      <family val="1"/>
    </font>
    <font>
      <sz val="10"/>
      <name val="??"/>
      <family val="3"/>
      <charset val="129"/>
    </font>
    <font>
      <sz val="12"/>
      <name val="????"/>
      <family val="1"/>
      <charset val="136"/>
    </font>
    <font>
      <sz val="12"/>
      <name val="|??¢¥¢¬¨Ï"/>
      <family val="1"/>
      <charset val="129"/>
    </font>
    <font>
      <sz val="14"/>
      <name val="뼻뮝"/>
      <family val="3"/>
      <charset val="129"/>
    </font>
    <font>
      <sz val="10"/>
      <name val="VNI-Times"/>
    </font>
    <font>
      <sz val="10"/>
      <name val="Helv"/>
      <family val="2"/>
    </font>
    <font>
      <sz val="10"/>
      <color indexed="8"/>
      <name val="Arial"/>
      <family val="2"/>
    </font>
    <font>
      <sz val="10"/>
      <name val="MS Sans Serif"/>
      <family val="2"/>
    </font>
    <font>
      <sz val="12"/>
      <name val="???"/>
    </font>
    <font>
      <sz val="12"/>
      <name val=".VnArial"/>
      <family val="2"/>
    </font>
    <font>
      <sz val="11"/>
      <name val="‚l‚r ‚oƒSƒVƒbƒN"/>
      <family val="3"/>
      <charset val="128"/>
    </font>
    <font>
      <sz val="12"/>
      <name val="바탕체"/>
      <family val="1"/>
      <charset val="129"/>
    </font>
    <font>
      <sz val="10"/>
      <name val="Times New Roman"/>
      <family val="1"/>
    </font>
    <font>
      <sz val="14"/>
      <name val="VnTime"/>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8"/>
      <name val="¹ÙÅÁÃ¼"/>
      <family val="1"/>
      <charset val="129"/>
    </font>
    <font>
      <sz val="11"/>
      <name val="VNtimes new roman"/>
      <family val="2"/>
    </font>
    <font>
      <sz val="11"/>
      <name val="±¼¸²Ã¼"/>
      <family val="3"/>
      <charset val="129"/>
    </font>
    <font>
      <sz val="8"/>
      <name val="Times New Roman"/>
      <family val="1"/>
    </font>
    <font>
      <sz val="11"/>
      <name val="Arial"/>
      <family val="2"/>
    </font>
    <font>
      <sz val="12"/>
      <name val="¹ÙÅÁÃ¼"/>
      <charset val="129"/>
    </font>
    <font>
      <sz val="12"/>
      <name val="Tms Rmn"/>
    </font>
    <font>
      <sz val="11"/>
      <name val="µ¸¿ò"/>
      <charset val="129"/>
    </font>
    <font>
      <sz val="12"/>
      <name val="System"/>
      <family val="1"/>
      <charset val="129"/>
    </font>
    <font>
      <sz val="10"/>
      <name val="Helv"/>
    </font>
    <font>
      <b/>
      <sz val="10"/>
      <name val="Helv"/>
    </font>
    <font>
      <b/>
      <sz val="8"/>
      <color indexed="12"/>
      <name val="Arial"/>
      <family val="2"/>
    </font>
    <font>
      <sz val="8"/>
      <color indexed="8"/>
      <name val="Arial"/>
      <family val="2"/>
    </font>
    <font>
      <sz val="11"/>
      <name val="Tms Rmn"/>
    </font>
    <font>
      <b/>
      <sz val="13"/>
      <name val=".VnArial Narrow"/>
      <family val="2"/>
    </font>
    <font>
      <sz val="13"/>
      <name val=".VnTime"/>
      <family val="2"/>
    </font>
    <font>
      <sz val="12"/>
      <color indexed="8"/>
      <name val="Times New Roman"/>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8"/>
      <name val="SVNtimes new roman"/>
      <family val="2"/>
    </font>
    <font>
      <sz val="10"/>
      <name val="VNI-Aptima"/>
    </font>
    <font>
      <sz val="10"/>
      <name val="SVNtimes new roman"/>
      <family val="2"/>
    </font>
    <font>
      <sz val="10"/>
      <color indexed="8"/>
      <name val="MS Sans Serif"/>
      <family val="2"/>
    </font>
    <font>
      <sz val="10"/>
      <name val="Arial CE"/>
      <charset val="238"/>
    </font>
    <font>
      <i/>
      <sz val="10"/>
      <name val="Times New Roman"/>
      <family val="1"/>
    </font>
    <font>
      <sz val="10"/>
      <color indexed="16"/>
      <name val="MS Serif"/>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0"/>
      <name val=".VnArialH"/>
      <family val="2"/>
    </font>
    <font>
      <b/>
      <sz val="12"/>
      <name val=".VnBook-AntiquaH"/>
      <family val="2"/>
    </font>
    <font>
      <b/>
      <sz val="12"/>
      <color indexed="9"/>
      <name val="Tms Rmn"/>
    </font>
    <font>
      <b/>
      <sz val="12"/>
      <name val="Helv"/>
    </font>
    <font>
      <b/>
      <sz val="1"/>
      <color indexed="8"/>
      <name val="Courier"/>
      <family val="3"/>
    </font>
    <font>
      <b/>
      <sz val="8"/>
      <name val="MS Sans Serif"/>
      <family val="2"/>
    </font>
    <font>
      <b/>
      <sz val="10"/>
      <name val=".VnTime"/>
      <family val="2"/>
    </font>
    <font>
      <sz val="12"/>
      <name val="??"/>
      <family val="1"/>
      <charset val="129"/>
    </font>
    <font>
      <sz val="12"/>
      <name val="±¼¸²Ã¼"/>
      <family val="3"/>
      <charset val="129"/>
    </font>
    <font>
      <sz val="10"/>
      <name val="VNI-Helve"/>
    </font>
    <font>
      <u/>
      <sz val="12"/>
      <color indexed="12"/>
      <name val=".VnTime"/>
      <family val="2"/>
    </font>
    <font>
      <sz val="8"/>
      <name val="VNarial"/>
      <family val="2"/>
    </font>
    <font>
      <b/>
      <sz val="11"/>
      <name val="Helv"/>
    </font>
    <font>
      <b/>
      <i/>
      <sz val="12"/>
      <name val=".VnAristote"/>
      <family val="2"/>
    </font>
    <font>
      <sz val="7"/>
      <name val="Small Fonts"/>
      <family val="2"/>
    </font>
    <font>
      <b/>
      <sz val="12"/>
      <name val="VN-NTime"/>
    </font>
    <font>
      <sz val="14"/>
      <name val=".VnTime"/>
      <family val="2"/>
    </font>
    <font>
      <sz val="11"/>
      <name val="VNI-Aptima"/>
    </font>
    <font>
      <b/>
      <sz val="11"/>
      <name val="Arial"/>
      <family val="2"/>
    </font>
    <font>
      <sz val="12"/>
      <name val="Helv"/>
    </font>
    <font>
      <b/>
      <sz val="10"/>
      <name val="MS Sans Serif"/>
      <family val="2"/>
    </font>
    <font>
      <sz val="11"/>
      <name val="VNswitzerlandCondLight"/>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0"/>
      <color indexed="12"/>
      <name val="Arial"/>
      <family val="2"/>
    </font>
    <font>
      <sz val="8"/>
      <name val="MS Sans Serif"/>
      <family val="2"/>
    </font>
    <font>
      <b/>
      <sz val="10.5"/>
      <name val=".VnAvantH"/>
      <family val="2"/>
    </font>
    <font>
      <sz val="10"/>
      <name val="3C_Times_T"/>
    </font>
    <font>
      <sz val="10"/>
      <name val="VNbook-Antiqua"/>
    </font>
    <font>
      <sz val="11"/>
      <color indexed="32"/>
      <name val="VNI-Times"/>
    </font>
    <font>
      <b/>
      <sz val="8"/>
      <color indexed="8"/>
      <name val="Helv"/>
    </font>
    <font>
      <sz val="10"/>
      <name val="Symbol"/>
      <family val="1"/>
      <charset val="2"/>
    </font>
    <font>
      <b/>
      <sz val="10"/>
      <name val="VNI-Univer"/>
    </font>
    <font>
      <b/>
      <sz val="12"/>
      <name val=".VnTime"/>
      <family val="2"/>
    </font>
    <font>
      <sz val="10"/>
      <name val="VnTime"/>
    </font>
    <font>
      <b/>
      <u val="double"/>
      <sz val="12"/>
      <color indexed="12"/>
      <name val=".VnBahamasB"/>
      <family val="2"/>
    </font>
    <font>
      <b/>
      <i/>
      <u/>
      <sz val="12"/>
      <name val=".VnTimeH"/>
      <family val="2"/>
    </font>
    <font>
      <sz val="10"/>
      <name val=".VnArial Narrow"/>
      <family val="2"/>
    </font>
    <font>
      <sz val="9.5"/>
      <name val=".VnBlackH"/>
      <family val="2"/>
    </font>
    <font>
      <b/>
      <sz val="10"/>
      <name val=".VnBahamasBH"/>
      <family val="2"/>
    </font>
    <font>
      <b/>
      <sz val="11"/>
      <name val=".VnArialH"/>
      <family val="2"/>
    </font>
    <font>
      <b/>
      <sz val="10"/>
      <name val=".VnArialH"/>
      <family val="2"/>
    </font>
    <font>
      <b/>
      <sz val="12"/>
      <name val="VNI-Times"/>
    </font>
    <font>
      <sz val="11"/>
      <name val=".VnAvant"/>
      <family val="2"/>
    </font>
    <font>
      <b/>
      <sz val="13"/>
      <color indexed="8"/>
      <name val=".VnTimeH"/>
      <family val="2"/>
    </font>
    <font>
      <sz val="10"/>
      <name val=".VnAvant"/>
      <family val="2"/>
    </font>
    <font>
      <sz val="8"/>
      <name val="VNI-Helve"/>
    </font>
    <font>
      <sz val="10"/>
      <name val="VNtimes new roman"/>
      <family val="2"/>
    </font>
    <font>
      <sz val="14"/>
      <name val="VnTime"/>
      <family val="2"/>
    </font>
    <font>
      <sz val="8"/>
      <name val=".VnTime"/>
      <family val="2"/>
    </font>
    <font>
      <b/>
      <sz val="8"/>
      <name val="VN Helvetica"/>
    </font>
    <font>
      <sz val="9"/>
      <name val=".VnTime"/>
      <family val="2"/>
    </font>
    <font>
      <b/>
      <sz val="10"/>
      <name val="VN AvantGBook"/>
    </font>
    <font>
      <b/>
      <sz val="16"/>
      <name val=".VnTime"/>
      <family val="2"/>
    </font>
    <font>
      <b/>
      <i/>
      <sz val="12"/>
      <name val=".VnTime"/>
      <family val="2"/>
    </font>
    <font>
      <sz val="10"/>
      <name val="명조"/>
      <family val="3"/>
      <charset val="129"/>
    </font>
    <font>
      <u/>
      <sz val="12"/>
      <color indexed="12"/>
      <name val="Times New Roman"/>
      <family val="1"/>
    </font>
    <font>
      <u/>
      <sz val="12"/>
      <color indexed="36"/>
      <name val="Times New Roman"/>
      <family val="1"/>
    </font>
    <font>
      <i/>
      <sz val="12"/>
      <name val="Times New Roman"/>
      <family val="1"/>
    </font>
    <font>
      <sz val="10"/>
      <name val="Arial"/>
      <family val="2"/>
    </font>
    <font>
      <sz val="10"/>
      <name val="VNarial"/>
      <family val="2"/>
    </font>
    <font>
      <sz val="12"/>
      <name val="Arial"/>
      <family val="2"/>
    </font>
    <font>
      <sz val="8"/>
      <color indexed="8"/>
      <name val="Times New Roman"/>
      <family val="1"/>
    </font>
    <font>
      <b/>
      <sz val="14"/>
      <name val="Times New Roman"/>
      <family val="1"/>
    </font>
    <font>
      <b/>
      <i/>
      <sz val="10"/>
      <color indexed="8"/>
      <name val="Times New Roman"/>
      <family val="1"/>
    </font>
    <font>
      <b/>
      <sz val="8"/>
      <name val="Times New Roman"/>
      <family val="1"/>
    </font>
    <font>
      <sz val="12"/>
      <name val="Arial"/>
      <family val="2"/>
    </font>
    <font>
      <sz val="10"/>
      <name val="Arial"/>
      <family val="2"/>
      <charset val="163"/>
    </font>
    <font>
      <sz val="11"/>
      <name val=".VnTime"/>
      <family val="2"/>
    </font>
    <font>
      <sz val="12"/>
      <name val=".VnTime"/>
      <family val="2"/>
    </font>
    <font>
      <sz val="12"/>
      <color indexed="8"/>
      <name val="Times New Roman"/>
      <family val="1"/>
    </font>
    <font>
      <sz val="11"/>
      <name val="Times New Roman"/>
      <family val="1"/>
    </font>
    <font>
      <sz val="11"/>
      <color indexed="8"/>
      <name val="Times New Roman"/>
      <family val="1"/>
    </font>
    <font>
      <b/>
      <sz val="10"/>
      <name val="Times New Roman"/>
      <family val="1"/>
    </font>
    <font>
      <b/>
      <i/>
      <sz val="11"/>
      <name val="Times New Roman"/>
      <family val="1"/>
    </font>
    <font>
      <sz val="11"/>
      <color indexed="10"/>
      <name val="Times New Roman"/>
      <family val="1"/>
    </font>
    <font>
      <sz val="12"/>
      <color indexed="10"/>
      <name val="Times New Roman"/>
      <family val="1"/>
    </font>
    <font>
      <sz val="13"/>
      <name val="Times New Roman"/>
      <family val="1"/>
      <charset val="163"/>
    </font>
    <font>
      <sz val="10"/>
      <color indexed="8"/>
      <name val="Times New Roman"/>
      <family val="1"/>
    </font>
    <font>
      <i/>
      <sz val="11"/>
      <color indexed="8"/>
      <name val="Times New Roman"/>
      <family val="1"/>
      <charset val="163"/>
    </font>
    <font>
      <i/>
      <sz val="10"/>
      <color indexed="8"/>
      <name val="Times New Roman"/>
      <family val="1"/>
      <charset val="163"/>
    </font>
    <font>
      <b/>
      <sz val="13"/>
      <name val="Times New Roman"/>
      <family val="1"/>
    </font>
    <font>
      <i/>
      <sz val="13"/>
      <name val="Times New Roman"/>
      <family val="1"/>
    </font>
    <font>
      <sz val="13"/>
      <name val="Times New Roman"/>
      <family val="1"/>
    </font>
    <font>
      <b/>
      <u/>
      <sz val="11"/>
      <name val="Times New Roman"/>
      <family val="1"/>
    </font>
    <font>
      <i/>
      <sz val="11"/>
      <name val="Times New Roman"/>
      <family val="1"/>
    </font>
    <font>
      <b/>
      <sz val="11"/>
      <name val="Times New Roman"/>
      <family val="1"/>
      <charset val="163"/>
    </font>
    <font>
      <b/>
      <sz val="11"/>
      <color indexed="10"/>
      <name val="Times New Roman"/>
      <family val="1"/>
      <charset val="163"/>
    </font>
    <font>
      <sz val="11"/>
      <color indexed="10"/>
      <name val=".VnArial"/>
      <family val="2"/>
    </font>
    <font>
      <sz val="11"/>
      <color indexed="30"/>
      <name val="Times New Roman"/>
      <family val="1"/>
    </font>
    <font>
      <sz val="11"/>
      <color indexed="40"/>
      <name val="Times New Roman"/>
      <family val="1"/>
    </font>
    <font>
      <sz val="13"/>
      <color indexed="8"/>
      <name val="Times New Roman"/>
      <family val="1"/>
    </font>
    <font>
      <sz val="10"/>
      <name val="Times New Roman"/>
      <family val="1"/>
      <charset val="163"/>
    </font>
    <font>
      <i/>
      <sz val="10"/>
      <name val="Times New Roman"/>
      <family val="1"/>
      <charset val="163"/>
    </font>
    <font>
      <sz val="10"/>
      <color theme="1"/>
      <name val=".VnTime"/>
      <family val="2"/>
    </font>
    <font>
      <sz val="11"/>
      <color theme="1"/>
      <name val="Arial"/>
      <family val="2"/>
      <scheme val="minor"/>
    </font>
    <font>
      <sz val="11"/>
      <color theme="1"/>
      <name val="Arial"/>
      <family val="2"/>
    </font>
    <font>
      <sz val="14"/>
      <color theme="1"/>
      <name val="Times New Roman"/>
      <family val="2"/>
    </font>
    <font>
      <sz val="11"/>
      <color theme="1"/>
      <name val="Calibri"/>
      <family val="2"/>
    </font>
    <font>
      <b/>
      <sz val="11"/>
      <color theme="1"/>
      <name val="Arial"/>
      <family val="2"/>
      <scheme val="minor"/>
    </font>
    <font>
      <sz val="8"/>
      <color theme="1"/>
      <name val="Times New Roman"/>
      <family val="1"/>
    </font>
    <font>
      <b/>
      <sz val="8"/>
      <color theme="1"/>
      <name val="Times New Roman"/>
      <family val="1"/>
    </font>
    <font>
      <b/>
      <sz val="12"/>
      <color theme="1"/>
      <name val="Arial"/>
      <family val="2"/>
      <scheme val="minor"/>
    </font>
    <font>
      <sz val="12"/>
      <color theme="1"/>
      <name val="Times New Roman"/>
      <family val="1"/>
    </font>
    <font>
      <sz val="12"/>
      <color rgb="FFFF0000"/>
      <name val="Times New Roman"/>
      <family val="1"/>
    </font>
    <font>
      <b/>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sz val="11"/>
      <color theme="1"/>
      <name val="Times New Roman"/>
      <family val="1"/>
      <charset val="163"/>
    </font>
    <font>
      <sz val="11"/>
      <color theme="1"/>
      <name val="Times New Roman"/>
      <family val="1"/>
    </font>
    <font>
      <sz val="11"/>
      <color rgb="FF000000"/>
      <name val="Times New Roman"/>
      <family val="1"/>
      <charset val="163"/>
    </font>
    <font>
      <sz val="10"/>
      <color theme="1"/>
      <name val="Arial"/>
      <family val="2"/>
      <scheme val="minor"/>
    </font>
    <font>
      <b/>
      <sz val="10"/>
      <color theme="1"/>
      <name val="Arial"/>
      <family val="2"/>
      <scheme val="minor"/>
    </font>
    <font>
      <sz val="10"/>
      <color theme="1"/>
      <name val="Times New Roman"/>
      <family val="1"/>
      <charset val="163"/>
    </font>
    <font>
      <b/>
      <sz val="11"/>
      <color rgb="FFFF0000"/>
      <name val="Times New Roman"/>
      <family val="1"/>
    </font>
    <font>
      <b/>
      <sz val="11"/>
      <color rgb="FFFF0000"/>
      <name val="Times New Roman"/>
      <family val="1"/>
      <charset val="163"/>
    </font>
    <font>
      <sz val="11"/>
      <color rgb="FFFF0000"/>
      <name val="Times New Roman"/>
      <family val="1"/>
    </font>
    <font>
      <b/>
      <sz val="10"/>
      <color rgb="FFFF0000"/>
      <name val="Times New Roman"/>
      <family val="1"/>
      <charset val="163"/>
    </font>
    <font>
      <i/>
      <sz val="11"/>
      <color theme="1"/>
      <name val="Times New Roman"/>
      <family val="1"/>
      <charset val="163"/>
    </font>
    <font>
      <i/>
      <sz val="10"/>
      <color theme="1"/>
      <name val="Times New Roman"/>
      <family val="1"/>
      <charset val="163"/>
    </font>
    <font>
      <b/>
      <u/>
      <sz val="11"/>
      <color rgb="FFFF0000"/>
      <name val="Times New Roman"/>
      <family val="1"/>
    </font>
    <font>
      <i/>
      <sz val="12"/>
      <name val="Times New Roman"/>
      <family val="1"/>
      <charset val="163"/>
    </font>
  </fonts>
  <fills count="5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right style="medium">
        <color indexed="0"/>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931">
    <xf numFmtId="0" fontId="0" fillId="0" borderId="0"/>
    <xf numFmtId="190" fontId="76" fillId="0" borderId="0" applyFont="0" applyFill="0" applyBorder="0" applyAlignment="0" applyProtection="0"/>
    <xf numFmtId="0" fontId="24" fillId="0" borderId="0" applyNumberFormat="0" applyFill="0" applyBorder="0" applyAlignment="0" applyProtection="0"/>
    <xf numFmtId="0" fontId="77" fillId="0" borderId="0"/>
    <xf numFmtId="3" fontId="78" fillId="0" borderId="1"/>
    <xf numFmtId="191" fontId="79" fillId="0" borderId="2">
      <alignment horizontal="center"/>
      <protection hidden="1"/>
    </xf>
    <xf numFmtId="191" fontId="79" fillId="0" borderId="2">
      <alignment horizontal="center"/>
      <protection hidden="1"/>
    </xf>
    <xf numFmtId="186" fontId="80" fillId="0" borderId="3" applyFont="0" applyBorder="0"/>
    <xf numFmtId="171" fontId="4" fillId="0" borderId="0" applyFont="0" applyFill="0" applyBorder="0" applyAlignment="0" applyProtection="0"/>
    <xf numFmtId="0" fontId="81" fillId="0" borderId="0" applyFont="0" applyFill="0" applyBorder="0" applyAlignment="0" applyProtection="0"/>
    <xf numFmtId="172" fontId="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92" fontId="81" fillId="0" borderId="0" applyFont="0" applyFill="0" applyBorder="0" applyAlignment="0" applyProtection="0"/>
    <xf numFmtId="0" fontId="82" fillId="0" borderId="4"/>
    <xf numFmtId="193" fontId="81" fillId="0" borderId="0" applyFont="0" applyFill="0" applyBorder="0" applyAlignment="0" applyProtection="0"/>
    <xf numFmtId="173" fontId="83" fillId="0" borderId="0" applyFont="0" applyFill="0" applyBorder="0" applyAlignment="0" applyProtection="0"/>
    <xf numFmtId="183" fontId="83" fillId="0" borderId="0" applyFont="0" applyFill="0" applyBorder="0" applyAlignment="0" applyProtection="0"/>
    <xf numFmtId="183" fontId="5" fillId="0" borderId="0" applyFont="0" applyFill="0" applyBorder="0" applyAlignment="0" applyProtection="0"/>
    <xf numFmtId="174" fontId="7" fillId="0" borderId="0" applyFont="0" applyFill="0" applyBorder="0" applyAlignment="0" applyProtection="0"/>
    <xf numFmtId="0" fontId="81"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84" fillId="0" borderId="0"/>
    <xf numFmtId="40" fontId="85" fillId="0" borderId="0" applyFont="0" applyFill="0" applyBorder="0" applyAlignment="0" applyProtection="0"/>
    <xf numFmtId="38" fontId="85" fillId="0" borderId="0" applyFont="0" applyFill="0" applyBorder="0" applyAlignment="0" applyProtection="0"/>
    <xf numFmtId="0" fontId="22" fillId="0" borderId="0" applyNumberFormat="0" applyFill="0" applyBorder="0" applyAlignment="0" applyProtection="0"/>
    <xf numFmtId="173" fontId="24" fillId="0" borderId="0" applyFont="0" applyFill="0" applyBorder="0" applyAlignment="0" applyProtection="0"/>
    <xf numFmtId="0" fontId="22" fillId="0" borderId="0"/>
    <xf numFmtId="167" fontId="86" fillId="0" borderId="0" applyFont="0" applyFill="0" applyBorder="0" applyAlignment="0" applyProtection="0"/>
    <xf numFmtId="0" fontId="87" fillId="0" borderId="0"/>
    <xf numFmtId="194" fontId="24" fillId="0" borderId="0" applyFont="0" applyFill="0" applyBorder="0" applyAlignment="0" applyProtection="0"/>
    <xf numFmtId="167" fontId="86" fillId="0" borderId="0" applyFont="0" applyFill="0" applyBorder="0" applyAlignment="0" applyProtection="0"/>
    <xf numFmtId="0" fontId="87" fillId="0" borderId="0"/>
    <xf numFmtId="167" fontId="86" fillId="0" borderId="0" applyFont="0" applyFill="0" applyBorder="0" applyAlignment="0" applyProtection="0"/>
    <xf numFmtId="0" fontId="88" fillId="0" borderId="0">
      <alignment vertical="top"/>
    </xf>
    <xf numFmtId="0" fontId="25" fillId="0" borderId="0" applyNumberFormat="0" applyFill="0" applyBorder="0" applyAlignment="0" applyProtection="0"/>
    <xf numFmtId="195" fontId="86" fillId="0" borderId="0" applyFont="0" applyFill="0" applyBorder="0" applyAlignment="0" applyProtection="0"/>
    <xf numFmtId="0" fontId="25" fillId="0" borderId="0" applyNumberFormat="0" applyFill="0" applyBorder="0" applyAlignment="0" applyProtection="0"/>
    <xf numFmtId="0" fontId="8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xf numFmtId="0" fontId="25" fillId="0" borderId="0" applyNumberFormat="0" applyFill="0" applyBorder="0" applyAlignment="0" applyProtection="0"/>
    <xf numFmtId="0" fontId="87" fillId="0" borderId="0"/>
    <xf numFmtId="0" fontId="87" fillId="0" borderId="0"/>
    <xf numFmtId="0" fontId="89" fillId="0" borderId="0" applyFont="0" applyFill="0" applyBorder="0" applyAlignment="0" applyProtection="0"/>
    <xf numFmtId="0" fontId="87" fillId="0" borderId="0"/>
    <xf numFmtId="0" fontId="89" fillId="0" borderId="0" applyFont="0" applyFill="0" applyBorder="0" applyAlignment="0" applyProtection="0"/>
    <xf numFmtId="0" fontId="25" fillId="0" borderId="0" applyNumberForma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0" fontId="87" fillId="0" borderId="0"/>
    <xf numFmtId="0" fontId="87" fillId="0" borderId="0"/>
    <xf numFmtId="0" fontId="25" fillId="0" borderId="0" applyNumberFormat="0" applyFill="0" applyBorder="0" applyAlignment="0" applyProtection="0"/>
    <xf numFmtId="167" fontId="86" fillId="0" borderId="0" applyFont="0" applyFill="0" applyBorder="0" applyAlignment="0" applyProtection="0"/>
    <xf numFmtId="0" fontId="3" fillId="0" borderId="0"/>
    <xf numFmtId="0" fontId="8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86" fillId="0" borderId="0" applyFont="0" applyFill="0" applyBorder="0" applyAlignment="0" applyProtection="0"/>
    <xf numFmtId="0" fontId="25" fillId="0" borderId="0" applyNumberFormat="0" applyFill="0" applyBorder="0" applyAlignment="0" applyProtection="0"/>
    <xf numFmtId="0" fontId="89" fillId="0" borderId="0" applyFont="0" applyFill="0" applyBorder="0" applyAlignment="0" applyProtection="0"/>
    <xf numFmtId="0" fontId="87" fillId="0" borderId="0"/>
    <xf numFmtId="0" fontId="87" fillId="0" borderId="0"/>
    <xf numFmtId="0" fontId="87" fillId="0" borderId="0"/>
    <xf numFmtId="0" fontId="89" fillId="0" borderId="0"/>
    <xf numFmtId="0" fontId="89" fillId="0" borderId="0"/>
    <xf numFmtId="0" fontId="87" fillId="0" borderId="0"/>
    <xf numFmtId="167" fontId="86" fillId="0" borderId="0" applyFont="0" applyFill="0" applyBorder="0" applyAlignment="0" applyProtection="0"/>
    <xf numFmtId="0" fontId="25" fillId="0" borderId="0" applyNumberFormat="0" applyFill="0" applyBorder="0" applyAlignment="0" applyProtection="0"/>
    <xf numFmtId="167" fontId="86"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96" fontId="76" fillId="0" borderId="0" applyFont="0" applyFill="0" applyBorder="0" applyAlignment="0" applyProtection="0"/>
    <xf numFmtId="190" fontId="76" fillId="0" borderId="0" applyFont="0" applyFill="0" applyBorder="0" applyAlignment="0" applyProtection="0"/>
    <xf numFmtId="183" fontId="7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170" fontId="86" fillId="0" borderId="0" applyFont="0" applyFill="0" applyBorder="0" applyAlignment="0" applyProtection="0"/>
    <xf numFmtId="173" fontId="7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200" fontId="86" fillId="0" borderId="0" applyFont="0" applyFill="0" applyBorder="0" applyAlignment="0" applyProtection="0"/>
    <xf numFmtId="201" fontId="76" fillId="0" borderId="0" applyFont="0" applyFill="0" applyBorder="0" applyAlignment="0" applyProtection="0"/>
    <xf numFmtId="201" fontId="86" fillId="0" borderId="0" applyFont="0" applyFill="0" applyBorder="0" applyAlignment="0" applyProtection="0"/>
    <xf numFmtId="202" fontId="86" fillId="0" borderId="0" applyFont="0" applyFill="0" applyBorder="0" applyAlignment="0" applyProtection="0"/>
    <xf numFmtId="195"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8" fontId="86" fillId="0" borderId="0" applyFont="0" applyFill="0" applyBorder="0" applyAlignment="0" applyProtection="0"/>
    <xf numFmtId="183" fontId="76" fillId="0" borderId="0" applyFont="0" applyFill="0" applyBorder="0" applyAlignment="0" applyProtection="0"/>
    <xf numFmtId="199" fontId="86" fillId="0" borderId="0" applyFont="0" applyFill="0" applyBorder="0" applyAlignment="0" applyProtection="0"/>
    <xf numFmtId="170" fontId="86" fillId="0" borderId="0" applyFont="0" applyFill="0" applyBorder="0" applyAlignment="0" applyProtection="0"/>
    <xf numFmtId="19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4" fontId="86" fillId="0" borderId="0" applyFont="0" applyFill="0" applyBorder="0" applyAlignment="0" applyProtection="0"/>
    <xf numFmtId="168" fontId="86" fillId="0" borderId="0" applyFont="0" applyFill="0" applyBorder="0" applyAlignment="0" applyProtection="0"/>
    <xf numFmtId="194" fontId="86" fillId="0" borderId="0" applyFont="0" applyFill="0" applyBorder="0" applyAlignment="0" applyProtection="0"/>
    <xf numFmtId="168" fontId="86" fillId="0" borderId="0" applyFont="0" applyFill="0" applyBorder="0" applyAlignment="0" applyProtection="0"/>
    <xf numFmtId="203" fontId="86" fillId="0" borderId="0" applyFont="0" applyFill="0" applyBorder="0" applyAlignment="0" applyProtection="0"/>
    <xf numFmtId="204" fontId="86" fillId="0" borderId="0" applyFont="0" applyFill="0" applyBorder="0" applyAlignment="0" applyProtection="0"/>
    <xf numFmtId="168" fontId="86" fillId="0" borderId="0" applyFont="0" applyFill="0" applyBorder="0" applyAlignment="0" applyProtection="0"/>
    <xf numFmtId="167" fontId="86" fillId="0" borderId="0" applyFont="0" applyFill="0" applyBorder="0" applyAlignment="0" applyProtection="0"/>
    <xf numFmtId="200" fontId="86" fillId="0" borderId="0" applyFont="0" applyFill="0" applyBorder="0" applyAlignment="0" applyProtection="0"/>
    <xf numFmtId="201" fontId="76" fillId="0" borderId="0" applyFont="0" applyFill="0" applyBorder="0" applyAlignment="0" applyProtection="0"/>
    <xf numFmtId="201" fontId="86" fillId="0" borderId="0" applyFont="0" applyFill="0" applyBorder="0" applyAlignment="0" applyProtection="0"/>
    <xf numFmtId="202" fontId="86" fillId="0" borderId="0" applyFont="0" applyFill="0" applyBorder="0" applyAlignment="0" applyProtection="0"/>
    <xf numFmtId="173" fontId="76" fillId="0" borderId="0" applyFont="0" applyFill="0" applyBorder="0" applyAlignment="0" applyProtection="0"/>
    <xf numFmtId="195" fontId="86" fillId="0" borderId="0" applyFont="0" applyFill="0" applyBorder="0" applyAlignment="0" applyProtection="0"/>
    <xf numFmtId="183" fontId="76" fillId="0" borderId="0" applyFont="0" applyFill="0" applyBorder="0" applyAlignment="0" applyProtection="0"/>
    <xf numFmtId="19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4" fontId="86" fillId="0" borderId="0" applyFont="0" applyFill="0" applyBorder="0" applyAlignment="0" applyProtection="0"/>
    <xf numFmtId="168" fontId="86" fillId="0" borderId="0" applyFont="0" applyFill="0" applyBorder="0" applyAlignment="0" applyProtection="0"/>
    <xf numFmtId="194" fontId="86" fillId="0" borderId="0" applyFont="0" applyFill="0" applyBorder="0" applyAlignment="0" applyProtection="0"/>
    <xf numFmtId="168" fontId="86" fillId="0" borderId="0" applyFont="0" applyFill="0" applyBorder="0" applyAlignment="0" applyProtection="0"/>
    <xf numFmtId="203" fontId="86" fillId="0" borderId="0" applyFont="0" applyFill="0" applyBorder="0" applyAlignment="0" applyProtection="0"/>
    <xf numFmtId="204" fontId="86" fillId="0" borderId="0" applyFont="0" applyFill="0" applyBorder="0" applyAlignment="0" applyProtection="0"/>
    <xf numFmtId="168"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170" fontId="86" fillId="0" borderId="0" applyFont="0" applyFill="0" applyBorder="0" applyAlignment="0" applyProtection="0"/>
    <xf numFmtId="173" fontId="76"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96" fontId="76" fillId="0" borderId="0" applyFont="0" applyFill="0" applyBorder="0" applyAlignment="0" applyProtection="0"/>
    <xf numFmtId="190" fontId="7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86" fillId="0" borderId="0" applyFont="0" applyFill="0" applyBorder="0" applyAlignment="0" applyProtection="0"/>
    <xf numFmtId="200" fontId="86" fillId="0" borderId="0" applyFont="0" applyFill="0" applyBorder="0" applyAlignment="0" applyProtection="0"/>
    <xf numFmtId="201" fontId="76" fillId="0" borderId="0" applyFont="0" applyFill="0" applyBorder="0" applyAlignment="0" applyProtection="0"/>
    <xf numFmtId="201" fontId="86" fillId="0" borderId="0" applyFont="0" applyFill="0" applyBorder="0" applyAlignment="0" applyProtection="0"/>
    <xf numFmtId="184" fontId="7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0" fontId="87" fillId="0" borderId="0"/>
    <xf numFmtId="202" fontId="86" fillId="0" borderId="0" applyFont="0" applyFill="0" applyBorder="0" applyAlignment="0" applyProtection="0"/>
    <xf numFmtId="0" fontId="87" fillId="0" borderId="0"/>
    <xf numFmtId="0" fontId="87" fillId="0" borderId="0"/>
    <xf numFmtId="167" fontId="8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173" fontId="76" fillId="0" borderId="0" applyFont="0" applyFill="0" applyBorder="0" applyAlignment="0" applyProtection="0"/>
    <xf numFmtId="19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4" fontId="86" fillId="0" borderId="0" applyFont="0" applyFill="0" applyBorder="0" applyAlignment="0" applyProtection="0"/>
    <xf numFmtId="168" fontId="86" fillId="0" borderId="0" applyFont="0" applyFill="0" applyBorder="0" applyAlignment="0" applyProtection="0"/>
    <xf numFmtId="194" fontId="86" fillId="0" borderId="0" applyFont="0" applyFill="0" applyBorder="0" applyAlignment="0" applyProtection="0"/>
    <xf numFmtId="168" fontId="86" fillId="0" borderId="0" applyFont="0" applyFill="0" applyBorder="0" applyAlignment="0" applyProtection="0"/>
    <xf numFmtId="203" fontId="86" fillId="0" borderId="0" applyFont="0" applyFill="0" applyBorder="0" applyAlignment="0" applyProtection="0"/>
    <xf numFmtId="204" fontId="86" fillId="0" borderId="0" applyFont="0" applyFill="0" applyBorder="0" applyAlignment="0" applyProtection="0"/>
    <xf numFmtId="168"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7" fontId="86" fillId="0" borderId="0" applyFont="0" applyFill="0" applyBorder="0" applyAlignment="0" applyProtection="0"/>
    <xf numFmtId="170" fontId="86" fillId="0" borderId="0" applyFont="0" applyFill="0" applyBorder="0" applyAlignment="0" applyProtection="0"/>
    <xf numFmtId="198" fontId="86" fillId="0" borderId="0" applyFont="0" applyFill="0" applyBorder="0" applyAlignment="0" applyProtection="0"/>
    <xf numFmtId="199" fontId="86" fillId="0" borderId="0" applyFont="0" applyFill="0" applyBorder="0" applyAlignment="0" applyProtection="0"/>
    <xf numFmtId="170" fontId="86"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96" fontId="76" fillId="0" borderId="0" applyFont="0" applyFill="0" applyBorder="0" applyAlignment="0" applyProtection="0"/>
    <xf numFmtId="190" fontId="76" fillId="0" borderId="0" applyFont="0" applyFill="0" applyBorder="0" applyAlignment="0" applyProtection="0"/>
    <xf numFmtId="183" fontId="76" fillId="0" borderId="0" applyFont="0" applyFill="0" applyBorder="0" applyAlignment="0" applyProtection="0"/>
    <xf numFmtId="167" fontId="86" fillId="0" borderId="0" applyFont="0" applyFill="0" applyBorder="0" applyAlignment="0" applyProtection="0"/>
    <xf numFmtId="0" fontId="25" fillId="0" borderId="0" applyNumberFormat="0" applyFill="0" applyBorder="0" applyAlignment="0" applyProtection="0"/>
    <xf numFmtId="0" fontId="87" fillId="0" borderId="0"/>
    <xf numFmtId="0" fontId="87" fillId="0" borderId="0"/>
    <xf numFmtId="0" fontId="88" fillId="0" borderId="0">
      <alignment vertical="top"/>
    </xf>
    <xf numFmtId="0" fontId="87" fillId="0" borderId="0"/>
    <xf numFmtId="0" fontId="25" fillId="0" borderId="0" applyNumberFormat="0" applyFill="0" applyBorder="0" applyAlignment="0" applyProtection="0"/>
    <xf numFmtId="0" fontId="87" fillId="0" borderId="0"/>
    <xf numFmtId="0" fontId="25" fillId="0" borderId="0" applyNumberFormat="0" applyFill="0" applyBorder="0" applyAlignment="0" applyProtection="0"/>
    <xf numFmtId="0" fontId="87" fillId="0" borderId="0"/>
    <xf numFmtId="205" fontId="90" fillId="0" borderId="0" applyFont="0" applyFill="0" applyBorder="0" applyAlignment="0" applyProtection="0"/>
    <xf numFmtId="206" fontId="91" fillId="0" borderId="0" applyFont="0" applyFill="0" applyBorder="0" applyAlignment="0" applyProtection="0"/>
    <xf numFmtId="207" fontId="7" fillId="0" borderId="0" applyFont="0" applyFill="0" applyBorder="0" applyAlignment="0" applyProtection="0"/>
    <xf numFmtId="208" fontId="52" fillId="0" borderId="0" applyFont="0" applyFill="0" applyBorder="0" applyAlignment="0" applyProtection="0"/>
    <xf numFmtId="190" fontId="52" fillId="0" borderId="0" applyFont="0" applyFill="0" applyBorder="0" applyAlignment="0" applyProtection="0"/>
    <xf numFmtId="207" fontId="7" fillId="0" borderId="0" applyFont="0" applyFill="0" applyBorder="0" applyAlignment="0" applyProtection="0"/>
    <xf numFmtId="208" fontId="52" fillId="0" borderId="0" applyFont="0" applyFill="0" applyBorder="0" applyAlignment="0" applyProtection="0"/>
    <xf numFmtId="175" fontId="92" fillId="0" borderId="0" applyFont="0" applyFill="0" applyBorder="0" applyAlignment="0" applyProtection="0"/>
    <xf numFmtId="176" fontId="92" fillId="0" borderId="0" applyFont="0" applyFill="0" applyBorder="0" applyAlignment="0" applyProtection="0"/>
    <xf numFmtId="209" fontId="25" fillId="0" borderId="0" applyFont="0" applyFill="0" applyBorder="0" applyAlignment="0" applyProtection="0"/>
    <xf numFmtId="176" fontId="93" fillId="0" borderId="0" applyFont="0" applyFill="0" applyBorder="0" applyAlignment="0" applyProtection="0"/>
    <xf numFmtId="0" fontId="8" fillId="0" borderId="0"/>
    <xf numFmtId="0" fontId="8" fillId="0" borderId="0"/>
    <xf numFmtId="0" fontId="8" fillId="0" borderId="0"/>
    <xf numFmtId="0" fontId="94" fillId="0" borderId="0"/>
    <xf numFmtId="1" fontId="95" fillId="0" borderId="1" applyBorder="0" applyAlignment="0">
      <alignment horizontal="center"/>
    </xf>
    <xf numFmtId="3" fontId="78" fillId="0" borderId="1"/>
    <xf numFmtId="3" fontId="78" fillId="0" borderId="1"/>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10" fillId="2" borderId="0"/>
    <xf numFmtId="0" fontId="9" fillId="2" borderId="0"/>
    <xf numFmtId="0" fontId="10" fillId="2" borderId="0"/>
    <xf numFmtId="0" fontId="10" fillId="2" borderId="0"/>
    <xf numFmtId="0" fontId="10" fillId="2" borderId="0"/>
    <xf numFmtId="0" fontId="10" fillId="2" borderId="0"/>
    <xf numFmtId="0" fontId="9" fillId="2" borderId="0"/>
    <xf numFmtId="0" fontId="10" fillId="2" borderId="0"/>
    <xf numFmtId="0" fontId="10" fillId="2" borderId="0"/>
    <xf numFmtId="0" fontId="10" fillId="2" borderId="0"/>
    <xf numFmtId="0" fontId="10" fillId="2" borderId="0"/>
    <xf numFmtId="0" fontId="9" fillId="2" borderId="0"/>
    <xf numFmtId="0" fontId="10" fillId="2" borderId="0"/>
    <xf numFmtId="0" fontId="9" fillId="2" borderId="0"/>
    <xf numFmtId="0" fontId="9" fillId="2" borderId="0"/>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9" fillId="2" borderId="0"/>
    <xf numFmtId="0" fontId="10" fillId="2" borderId="0"/>
    <xf numFmtId="0" fontId="9" fillId="2" borderId="0"/>
    <xf numFmtId="0" fontId="9" fillId="2" borderId="0"/>
    <xf numFmtId="0" fontId="9" fillId="2" borderId="0"/>
    <xf numFmtId="0" fontId="10" fillId="2" borderId="0"/>
    <xf numFmtId="0" fontId="9" fillId="2" borderId="0"/>
    <xf numFmtId="0" fontId="10" fillId="2" borderId="0"/>
    <xf numFmtId="0" fontId="10" fillId="2" borderId="0"/>
    <xf numFmtId="0" fontId="10" fillId="2" borderId="0"/>
    <xf numFmtId="0" fontId="9" fillId="2" borderId="0"/>
    <xf numFmtId="0" fontId="10" fillId="2" borderId="0"/>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9" fillId="2" borderId="0"/>
    <xf numFmtId="0" fontId="9" fillId="2" borderId="0"/>
    <xf numFmtId="0" fontId="89" fillId="0" borderId="5"/>
    <xf numFmtId="0" fontId="10" fillId="2" borderId="0"/>
    <xf numFmtId="0" fontId="9" fillId="2" borderId="0"/>
    <xf numFmtId="0" fontId="10" fillId="2" borderId="0"/>
    <xf numFmtId="0" fontId="9" fillId="2" borderId="0"/>
    <xf numFmtId="0" fontId="10" fillId="2" borderId="0"/>
    <xf numFmtId="0" fontId="10" fillId="2" borderId="0"/>
    <xf numFmtId="0" fontId="213" fillId="2" borderId="0"/>
    <xf numFmtId="0" fontId="10"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10" fillId="2" borderId="0"/>
    <xf numFmtId="0" fontId="10" fillId="2" borderId="0"/>
    <xf numFmtId="0" fontId="9" fillId="2" borderId="0"/>
    <xf numFmtId="0" fontId="96" fillId="0" borderId="0" applyFont="0" applyFill="0" applyBorder="0" applyAlignment="0">
      <alignment horizontal="left"/>
    </xf>
    <xf numFmtId="0" fontId="9" fillId="2" borderId="0"/>
    <xf numFmtId="0" fontId="9" fillId="2" borderId="0"/>
    <xf numFmtId="0" fontId="9" fillId="2" borderId="0"/>
    <xf numFmtId="0" fontId="9" fillId="2" borderId="0"/>
    <xf numFmtId="0" fontId="10" fillId="2" borderId="0"/>
    <xf numFmtId="0" fontId="10" fillId="2" borderId="0"/>
    <xf numFmtId="0" fontId="9" fillId="2" borderId="0"/>
    <xf numFmtId="0" fontId="10" fillId="2" borderId="0"/>
    <xf numFmtId="0" fontId="10" fillId="2" borderId="0"/>
    <xf numFmtId="0" fontId="24" fillId="2" borderId="0"/>
    <xf numFmtId="0" fontId="24" fillId="2" borderId="0"/>
    <xf numFmtId="0" fontId="9" fillId="2" borderId="0"/>
    <xf numFmtId="0" fontId="9" fillId="2" borderId="0"/>
    <xf numFmtId="0" fontId="9" fillId="2" borderId="0"/>
    <xf numFmtId="0" fontId="10" fillId="2" borderId="0"/>
    <xf numFmtId="0" fontId="10" fillId="2" borderId="0"/>
    <xf numFmtId="0" fontId="10" fillId="2" borderId="0"/>
    <xf numFmtId="0" fontId="9" fillId="2" borderId="0"/>
    <xf numFmtId="0" fontId="10" fillId="2" borderId="0"/>
    <xf numFmtId="0" fontId="10" fillId="2" borderId="0"/>
    <xf numFmtId="0" fontId="9" fillId="2" borderId="0"/>
    <xf numFmtId="0" fontId="10" fillId="2" borderId="0"/>
    <xf numFmtId="0" fontId="10" fillId="2" borderId="0"/>
    <xf numFmtId="0" fontId="213" fillId="2" borderId="0"/>
    <xf numFmtId="0" fontId="10" fillId="2" borderId="0"/>
    <xf numFmtId="0" fontId="9" fillId="2" borderId="0"/>
    <xf numFmtId="0" fontId="10" fillId="2" borderId="0"/>
    <xf numFmtId="0" fontId="10" fillId="2" borderId="0"/>
    <xf numFmtId="0" fontId="9" fillId="2" borderId="0"/>
    <xf numFmtId="0" fontId="10" fillId="2" borderId="0"/>
    <xf numFmtId="0" fontId="9" fillId="2" borderId="0"/>
    <xf numFmtId="0" fontId="10" fillId="2" borderId="0"/>
    <xf numFmtId="0" fontId="10" fillId="2" borderId="0"/>
    <xf numFmtId="0" fontId="10" fillId="2" borderId="0"/>
    <xf numFmtId="0" fontId="10" fillId="2" borderId="0"/>
    <xf numFmtId="0" fontId="10" fillId="2" borderId="0"/>
    <xf numFmtId="0" fontId="9" fillId="2" borderId="0"/>
    <xf numFmtId="0" fontId="10" fillId="2" borderId="0"/>
    <xf numFmtId="0" fontId="10" fillId="2" borderId="0"/>
    <xf numFmtId="0" fontId="10" fillId="2" borderId="0"/>
    <xf numFmtId="0" fontId="96" fillId="0" borderId="0" applyFont="0" applyFill="0" applyBorder="0" applyAlignment="0">
      <alignment horizontal="left"/>
    </xf>
    <xf numFmtId="0" fontId="9" fillId="2" borderId="0"/>
    <xf numFmtId="0" fontId="9" fillId="2" borderId="0"/>
    <xf numFmtId="0" fontId="9" fillId="2" borderId="0"/>
    <xf numFmtId="0" fontId="10" fillId="2" borderId="0"/>
    <xf numFmtId="0" fontId="9" fillId="2" borderId="0"/>
    <xf numFmtId="0" fontId="9" fillId="2" borderId="0"/>
    <xf numFmtId="0" fontId="10" fillId="2" borderId="0"/>
    <xf numFmtId="0" fontId="10" fillId="2" borderId="0"/>
    <xf numFmtId="0" fontId="10" fillId="2" borderId="0"/>
    <xf numFmtId="0" fontId="10" fillId="2" borderId="0"/>
    <xf numFmtId="0" fontId="10" fillId="2" borderId="0"/>
    <xf numFmtId="0" fontId="9" fillId="2" borderId="0"/>
    <xf numFmtId="0" fontId="10" fillId="2" borderId="0"/>
    <xf numFmtId="0" fontId="10" fillId="2" borderId="0"/>
    <xf numFmtId="0" fontId="10" fillId="2" borderId="0"/>
    <xf numFmtId="0" fontId="9" fillId="2" borderId="0"/>
    <xf numFmtId="0" fontId="10" fillId="2" borderId="0"/>
    <xf numFmtId="0" fontId="9" fillId="2" borderId="0"/>
    <xf numFmtId="0" fontId="10" fillId="2" borderId="0"/>
    <xf numFmtId="0" fontId="9" fillId="2" borderId="0"/>
    <xf numFmtId="0" fontId="9" fillId="2" borderId="0"/>
    <xf numFmtId="0" fontId="10" fillId="2" borderId="0"/>
    <xf numFmtId="0" fontId="9" fillId="2" borderId="0"/>
    <xf numFmtId="0" fontId="9" fillId="2" borderId="0"/>
    <xf numFmtId="0" fontId="10" fillId="2" borderId="0"/>
    <xf numFmtId="0" fontId="10" fillId="2" borderId="0"/>
    <xf numFmtId="0" fontId="9" fillId="2" borderId="0"/>
    <xf numFmtId="0" fontId="9" fillId="2" borderId="0"/>
    <xf numFmtId="0" fontId="9" fillId="2" borderId="0"/>
    <xf numFmtId="0" fontId="10" fillId="2" borderId="0"/>
    <xf numFmtId="0" fontId="9" fillId="2" borderId="0"/>
    <xf numFmtId="0" fontId="9" fillId="2" borderId="0"/>
    <xf numFmtId="0" fontId="9" fillId="2" borderId="0"/>
    <xf numFmtId="0" fontId="10" fillId="2" borderId="0"/>
    <xf numFmtId="0" fontId="10" fillId="2" borderId="0"/>
    <xf numFmtId="0" fontId="10" fillId="2" borderId="0"/>
    <xf numFmtId="0" fontId="9" fillId="2" borderId="0"/>
    <xf numFmtId="0" fontId="10" fillId="2" borderId="0"/>
    <xf numFmtId="0" fontId="9" fillId="2" borderId="0"/>
    <xf numFmtId="0" fontId="10" fillId="2" borderId="0"/>
    <xf numFmtId="0" fontId="9" fillId="2" borderId="0"/>
    <xf numFmtId="0" fontId="9" fillId="2" borderId="0"/>
    <xf numFmtId="0" fontId="9" fillId="2" borderId="0"/>
    <xf numFmtId="0" fontId="10" fillId="2" borderId="0"/>
    <xf numFmtId="0" fontId="10" fillId="2" borderId="0"/>
    <xf numFmtId="0" fontId="9" fillId="2" borderId="0"/>
    <xf numFmtId="0" fontId="9" fillId="2" borderId="0"/>
    <xf numFmtId="0" fontId="10" fillId="2" borderId="0"/>
    <xf numFmtId="0" fontId="9" fillId="2" borderId="0"/>
    <xf numFmtId="0" fontId="9" fillId="2" borderId="0"/>
    <xf numFmtId="0" fontId="10" fillId="2" borderId="0"/>
    <xf numFmtId="0" fontId="9" fillId="2" borderId="0"/>
    <xf numFmtId="0" fontId="10" fillId="2" borderId="0"/>
    <xf numFmtId="0" fontId="9" fillId="2" borderId="0"/>
    <xf numFmtId="0" fontId="10" fillId="2" borderId="0"/>
    <xf numFmtId="205" fontId="90" fillId="0" borderId="0" applyFont="0" applyFill="0" applyBorder="0" applyAlignment="0" applyProtection="0"/>
    <xf numFmtId="0" fontId="9" fillId="2" borderId="0"/>
    <xf numFmtId="0" fontId="10" fillId="2" borderId="0"/>
    <xf numFmtId="0" fontId="10" fillId="2" borderId="0"/>
    <xf numFmtId="0" fontId="9" fillId="2" borderId="0"/>
    <xf numFmtId="0" fontId="10" fillId="2" borderId="0"/>
    <xf numFmtId="0" fontId="9" fillId="2" borderId="0"/>
    <xf numFmtId="0" fontId="9" fillId="2" borderId="0"/>
    <xf numFmtId="0" fontId="9" fillId="2" borderId="0"/>
    <xf numFmtId="205" fontId="90" fillId="0" borderId="0" applyFont="0" applyFill="0" applyBorder="0" applyAlignment="0" applyProtection="0"/>
    <xf numFmtId="205" fontId="90" fillId="0" borderId="0" applyFont="0" applyFill="0" applyBorder="0" applyAlignment="0" applyProtection="0"/>
    <xf numFmtId="0" fontId="10" fillId="2" borderId="0"/>
    <xf numFmtId="0" fontId="10" fillId="2" borderId="0"/>
    <xf numFmtId="205" fontId="90" fillId="0" borderId="0" applyFont="0" applyFill="0" applyBorder="0" applyAlignment="0" applyProtection="0"/>
    <xf numFmtId="205" fontId="90" fillId="0" borderId="0" applyFont="0" applyFill="0" applyBorder="0" applyAlignment="0" applyProtection="0"/>
    <xf numFmtId="0" fontId="10" fillId="2" borderId="0"/>
    <xf numFmtId="0" fontId="10" fillId="2" borderId="0"/>
    <xf numFmtId="0" fontId="9" fillId="2" borderId="0"/>
    <xf numFmtId="0" fontId="10" fillId="2" borderId="0"/>
    <xf numFmtId="0" fontId="10" fillId="2" borderId="0"/>
    <xf numFmtId="0" fontId="10" fillId="2" borderId="0"/>
    <xf numFmtId="0" fontId="10" fillId="2" borderId="0"/>
    <xf numFmtId="0" fontId="10" fillId="2" borderId="0"/>
    <xf numFmtId="0" fontId="9" fillId="2" borderId="0"/>
    <xf numFmtId="0" fontId="10" fillId="2" borderId="0"/>
    <xf numFmtId="0" fontId="97" fillId="0" borderId="1" applyNumberFormat="0" applyFont="0" applyBorder="0">
      <alignment horizontal="left" indent="2"/>
    </xf>
    <xf numFmtId="0" fontId="97" fillId="0" borderId="1" applyNumberFormat="0" applyFont="0" applyBorder="0">
      <alignment horizontal="left" indent="2"/>
    </xf>
    <xf numFmtId="0" fontId="9" fillId="2" borderId="0"/>
    <xf numFmtId="0" fontId="97" fillId="0" borderId="1" applyNumberFormat="0" applyFont="0" applyBorder="0">
      <alignment horizontal="left" indent="2"/>
    </xf>
    <xf numFmtId="0" fontId="96" fillId="0" borderId="0" applyFont="0" applyFill="0" applyBorder="0" applyAlignment="0">
      <alignment horizontal="left"/>
    </xf>
    <xf numFmtId="0" fontId="97" fillId="0" borderId="1" applyNumberFormat="0" applyFont="0" applyBorder="0">
      <alignment horizontal="left" indent="2"/>
    </xf>
    <xf numFmtId="0" fontId="9" fillId="2" borderId="0"/>
    <xf numFmtId="0" fontId="96" fillId="0" borderId="0" applyFont="0" applyFill="0" applyBorder="0" applyAlignment="0">
      <alignment horizontal="left"/>
    </xf>
    <xf numFmtId="0" fontId="97" fillId="0" borderId="1" applyNumberFormat="0" applyFont="0" applyBorder="0">
      <alignment horizontal="left" indent="2"/>
    </xf>
    <xf numFmtId="0" fontId="97" fillId="0" borderId="1" applyNumberFormat="0" applyFont="0" applyBorder="0">
      <alignment horizontal="left" indent="2"/>
    </xf>
    <xf numFmtId="9" fontId="6" fillId="0" borderId="0" applyFont="0" applyFill="0" applyBorder="0" applyAlignment="0" applyProtection="0"/>
    <xf numFmtId="9" fontId="50" fillId="0" borderId="0" applyFont="0" applyFill="0" applyBorder="0" applyAlignment="0" applyProtection="0"/>
    <xf numFmtId="49" fontId="98" fillId="0" borderId="6" applyNumberFormat="0" applyFont="0" applyAlignment="0">
      <alignment horizontal="center" vertical="center"/>
    </xf>
    <xf numFmtId="0" fontId="99" fillId="0" borderId="7" applyNumberFormat="0" applyFont="0" applyFill="0" applyBorder="0" applyAlignment="0">
      <alignment horizontal="center"/>
    </xf>
    <xf numFmtId="0" fontId="87" fillId="0" borderId="0">
      <alignment wrapText="1"/>
    </xf>
    <xf numFmtId="0" fontId="100" fillId="0" borderId="0"/>
    <xf numFmtId="9" fontId="101" fillId="0" borderId="0" applyBorder="0" applyAlignment="0" applyProtection="0"/>
    <xf numFmtId="0" fontId="11" fillId="2" borderId="0"/>
    <xf numFmtId="0" fontId="10" fillId="2" borderId="0"/>
    <xf numFmtId="0" fontId="11" fillId="2" borderId="0"/>
    <xf numFmtId="0" fontId="11" fillId="2" borderId="0"/>
    <xf numFmtId="0" fontId="10" fillId="2" borderId="0"/>
    <xf numFmtId="0" fontId="11" fillId="2" borderId="0"/>
    <xf numFmtId="0" fontId="10" fillId="2" borderId="0"/>
    <xf numFmtId="0" fontId="11"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0" fillId="2" borderId="0"/>
    <xf numFmtId="0" fontId="11"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1" fillId="2" borderId="0"/>
    <xf numFmtId="0" fontId="10" fillId="2" borderId="0"/>
    <xf numFmtId="0" fontId="11" fillId="2" borderId="0"/>
    <xf numFmtId="0" fontId="10" fillId="2" borderId="0"/>
    <xf numFmtId="0" fontId="10" fillId="2" borderId="0"/>
    <xf numFmtId="0" fontId="10" fillId="2" borderId="0"/>
    <xf numFmtId="0" fontId="11" fillId="2" borderId="0"/>
    <xf numFmtId="0" fontId="10" fillId="2" borderId="0"/>
    <xf numFmtId="0" fontId="11" fillId="2" borderId="0"/>
    <xf numFmtId="0" fontId="10" fillId="2" borderId="0"/>
    <xf numFmtId="0" fontId="11" fillId="2" borderId="0"/>
    <xf numFmtId="0" fontId="11" fillId="2" borderId="0"/>
    <xf numFmtId="0" fontId="10" fillId="2" borderId="0"/>
    <xf numFmtId="0" fontId="11" fillId="2" borderId="0"/>
    <xf numFmtId="0" fontId="11" fillId="2" borderId="0"/>
    <xf numFmtId="0" fontId="11" fillId="2" borderId="0"/>
    <xf numFmtId="0" fontId="11" fillId="2" borderId="0"/>
    <xf numFmtId="0" fontId="10" fillId="2" borderId="0"/>
    <xf numFmtId="0" fontId="11" fillId="2" borderId="0"/>
    <xf numFmtId="0" fontId="10" fillId="2" borderId="0"/>
    <xf numFmtId="0" fontId="11" fillId="2" borderId="0"/>
    <xf numFmtId="0" fontId="10" fillId="2" borderId="0"/>
    <xf numFmtId="0" fontId="10" fillId="2" borderId="0"/>
    <xf numFmtId="0" fontId="213" fillId="2" borderId="0"/>
    <xf numFmtId="0" fontId="10"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0" fillId="2" borderId="0"/>
    <xf numFmtId="0" fontId="10" fillId="2" borderId="0"/>
    <xf numFmtId="0" fontId="11" fillId="2" borderId="0"/>
    <xf numFmtId="0" fontId="11" fillId="2" borderId="0"/>
    <xf numFmtId="0" fontId="11" fillId="2" borderId="0"/>
    <xf numFmtId="0" fontId="11" fillId="2" borderId="0"/>
    <xf numFmtId="0" fontId="11" fillId="2" borderId="0"/>
    <xf numFmtId="0" fontId="10" fillId="2" borderId="0"/>
    <xf numFmtId="0" fontId="10" fillId="2" borderId="0"/>
    <xf numFmtId="0" fontId="11" fillId="2" borderId="0"/>
    <xf numFmtId="0" fontId="10" fillId="2" borderId="0"/>
    <xf numFmtId="0" fontId="10" fillId="2" borderId="0"/>
    <xf numFmtId="0" fontId="24" fillId="2" borderId="0"/>
    <xf numFmtId="0" fontId="24" fillId="2" borderId="0"/>
    <xf numFmtId="0" fontId="11" fillId="2" borderId="0"/>
    <xf numFmtId="0" fontId="11" fillId="2" borderId="0"/>
    <xf numFmtId="0" fontId="11" fillId="2" borderId="0"/>
    <xf numFmtId="0" fontId="10" fillId="2" borderId="0"/>
    <xf numFmtId="0" fontId="10" fillId="2" borderId="0"/>
    <xf numFmtId="0" fontId="10" fillId="2" borderId="0"/>
    <xf numFmtId="0" fontId="11" fillId="2" borderId="0"/>
    <xf numFmtId="0" fontId="10" fillId="2" borderId="0"/>
    <xf numFmtId="0" fontId="10" fillId="2" borderId="0"/>
    <xf numFmtId="0" fontId="11" fillId="2" borderId="0"/>
    <xf numFmtId="0" fontId="10" fillId="2" borderId="0"/>
    <xf numFmtId="0" fontId="10" fillId="2" borderId="0"/>
    <xf numFmtId="0" fontId="213" fillId="2" borderId="0"/>
    <xf numFmtId="0" fontId="10" fillId="2" borderId="0"/>
    <xf numFmtId="0" fontId="11" fillId="2" borderId="0"/>
    <xf numFmtId="0" fontId="10" fillId="2" borderId="0"/>
    <xf numFmtId="0" fontId="10" fillId="2" borderId="0"/>
    <xf numFmtId="0" fontId="11" fillId="2" borderId="0"/>
    <xf numFmtId="0" fontId="10" fillId="2" borderId="0"/>
    <xf numFmtId="0" fontId="11" fillId="2" borderId="0"/>
    <xf numFmtId="0" fontId="10"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0"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1" fillId="2" borderId="0"/>
    <xf numFmtId="0" fontId="10" fillId="2" borderId="0"/>
    <xf numFmtId="0" fontId="10" fillId="2" borderId="0"/>
    <xf numFmtId="0" fontId="11" fillId="2" borderId="0"/>
    <xf numFmtId="0" fontId="11" fillId="2" borderId="0"/>
    <xf numFmtId="0" fontId="10" fillId="2" borderId="0"/>
    <xf numFmtId="0" fontId="11" fillId="2" borderId="0"/>
    <xf numFmtId="0" fontId="11" fillId="2" borderId="0"/>
    <xf numFmtId="0" fontId="10" fillId="2" borderId="0"/>
    <xf numFmtId="0" fontId="10" fillId="2" borderId="0"/>
    <xf numFmtId="0" fontId="11" fillId="2" borderId="0"/>
    <xf numFmtId="0" fontId="11" fillId="2" borderId="0"/>
    <xf numFmtId="0" fontId="11" fillId="2" borderId="0"/>
    <xf numFmtId="0" fontId="10" fillId="2" borderId="0"/>
    <xf numFmtId="0" fontId="11" fillId="2" borderId="0"/>
    <xf numFmtId="0" fontId="11" fillId="2" borderId="0"/>
    <xf numFmtId="0" fontId="10" fillId="2" borderId="0"/>
    <xf numFmtId="0" fontId="10" fillId="2" borderId="0"/>
    <xf numFmtId="0" fontId="10" fillId="2" borderId="0"/>
    <xf numFmtId="0" fontId="11" fillId="2" borderId="0"/>
    <xf numFmtId="0" fontId="10" fillId="2" borderId="0"/>
    <xf numFmtId="0" fontId="11" fillId="2" borderId="0"/>
    <xf numFmtId="0" fontId="10" fillId="2" borderId="0"/>
    <xf numFmtId="0" fontId="11" fillId="2" borderId="0"/>
    <xf numFmtId="0" fontId="11" fillId="2" borderId="0"/>
    <xf numFmtId="0" fontId="11" fillId="2" borderId="0"/>
    <xf numFmtId="0" fontId="10" fillId="2" borderId="0"/>
    <xf numFmtId="0" fontId="10" fillId="2" borderId="0"/>
    <xf numFmtId="0" fontId="11" fillId="2" borderId="0"/>
    <xf numFmtId="0" fontId="11" fillId="2" borderId="0"/>
    <xf numFmtId="0" fontId="10" fillId="2" borderId="0"/>
    <xf numFmtId="0" fontId="11" fillId="2" borderId="0"/>
    <xf numFmtId="0" fontId="11" fillId="2" borderId="0"/>
    <xf numFmtId="0" fontId="10" fillId="2" borderId="0"/>
    <xf numFmtId="0" fontId="11" fillId="2" borderId="0"/>
    <xf numFmtId="0" fontId="10" fillId="2" borderId="0"/>
    <xf numFmtId="0" fontId="11" fillId="2" borderId="0"/>
    <xf numFmtId="0" fontId="10" fillId="2" borderId="0"/>
    <xf numFmtId="0" fontId="11" fillId="2" borderId="0"/>
    <xf numFmtId="0" fontId="10" fillId="2" borderId="0"/>
    <xf numFmtId="0" fontId="10" fillId="2" borderId="0"/>
    <xf numFmtId="0" fontId="11" fillId="2" borderId="0"/>
    <xf numFmtId="0" fontId="10" fillId="2" borderId="0"/>
    <xf numFmtId="0" fontId="11" fillId="2" borderId="0"/>
    <xf numFmtId="0" fontId="11" fillId="2" borderId="0"/>
    <xf numFmtId="0" fontId="11" fillId="2" borderId="0"/>
    <xf numFmtId="0" fontId="10" fillId="2" borderId="0"/>
    <xf numFmtId="0" fontId="10" fillId="2" borderId="0"/>
    <xf numFmtId="0" fontId="10" fillId="2" borderId="0"/>
    <xf numFmtId="0" fontId="10" fillId="2" borderId="0"/>
    <xf numFmtId="0" fontId="11" fillId="2" borderId="0"/>
    <xf numFmtId="0" fontId="10" fillId="2" borderId="0"/>
    <xf numFmtId="0" fontId="10" fillId="2" borderId="0"/>
    <xf numFmtId="0" fontId="10" fillId="2" borderId="0"/>
    <xf numFmtId="0" fontId="10" fillId="2" borderId="0"/>
    <xf numFmtId="0" fontId="10" fillId="2" borderId="0"/>
    <xf numFmtId="0" fontId="11" fillId="2" borderId="0"/>
    <xf numFmtId="0" fontId="10" fillId="2" borderId="0"/>
    <xf numFmtId="0" fontId="97" fillId="0" borderId="1" applyNumberFormat="0" applyFont="0" applyBorder="0" applyAlignment="0">
      <alignment horizontal="center"/>
    </xf>
    <xf numFmtId="0" fontId="97" fillId="0" borderId="1" applyNumberFormat="0" applyFont="0" applyBorder="0" applyAlignment="0">
      <alignment horizontal="center"/>
    </xf>
    <xf numFmtId="0" fontId="11" fillId="2" borderId="0"/>
    <xf numFmtId="0" fontId="97" fillId="0" borderId="1" applyNumberFormat="0" applyFont="0" applyBorder="0" applyAlignment="0">
      <alignment horizontal="center"/>
    </xf>
    <xf numFmtId="0" fontId="97" fillId="0" borderId="1" applyNumberFormat="0" applyFont="0" applyBorder="0" applyAlignment="0">
      <alignment horizontal="center"/>
    </xf>
    <xf numFmtId="0" fontId="11" fillId="2" borderId="0"/>
    <xf numFmtId="0" fontId="97" fillId="0" borderId="1" applyNumberFormat="0" applyFont="0" applyBorder="0" applyAlignment="0">
      <alignment horizontal="center"/>
    </xf>
    <xf numFmtId="0" fontId="97" fillId="0" borderId="1" applyNumberFormat="0" applyFont="0" applyBorder="0" applyAlignment="0">
      <alignment horizontal="center"/>
    </xf>
    <xf numFmtId="0" fontId="24"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13" fillId="2" borderId="0"/>
    <xf numFmtId="0" fontId="10" fillId="2" borderId="0"/>
    <xf numFmtId="0" fontId="13" fillId="2" borderId="0"/>
    <xf numFmtId="0" fontId="13" fillId="2" borderId="0"/>
    <xf numFmtId="0" fontId="10" fillId="2" borderId="0"/>
    <xf numFmtId="0" fontId="13" fillId="2" borderId="0"/>
    <xf numFmtId="0" fontId="10" fillId="2" borderId="0"/>
    <xf numFmtId="0" fontId="13" fillId="2" borderId="0"/>
    <xf numFmtId="0" fontId="10" fillId="2" borderId="0"/>
    <xf numFmtId="0" fontId="10" fillId="2" borderId="0"/>
    <xf numFmtId="0" fontId="10" fillId="2" borderId="0"/>
    <xf numFmtId="0" fontId="10" fillId="2" borderId="0"/>
    <xf numFmtId="0" fontId="13" fillId="2" borderId="0"/>
    <xf numFmtId="0" fontId="10" fillId="2" borderId="0"/>
    <xf numFmtId="0" fontId="10" fillId="2" borderId="0"/>
    <xf numFmtId="0" fontId="10" fillId="2" borderId="0"/>
    <xf numFmtId="0" fontId="10" fillId="2" borderId="0"/>
    <xf numFmtId="0" fontId="13"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3" fillId="2" borderId="0"/>
    <xf numFmtId="0" fontId="10" fillId="2" borderId="0"/>
    <xf numFmtId="0" fontId="13" fillId="2" borderId="0"/>
    <xf numFmtId="0" fontId="10" fillId="2" borderId="0"/>
    <xf numFmtId="0" fontId="10" fillId="2" borderId="0"/>
    <xf numFmtId="0" fontId="10" fillId="2" borderId="0"/>
    <xf numFmtId="0" fontId="13" fillId="2" borderId="0"/>
    <xf numFmtId="0" fontId="10" fillId="2" borderId="0"/>
    <xf numFmtId="0" fontId="13" fillId="2" borderId="0"/>
    <xf numFmtId="0" fontId="10" fillId="2" borderId="0"/>
    <xf numFmtId="0" fontId="13" fillId="2" borderId="0"/>
    <xf numFmtId="0" fontId="13" fillId="2" borderId="0"/>
    <xf numFmtId="0" fontId="10" fillId="2" borderId="0"/>
    <xf numFmtId="0" fontId="13" fillId="2" borderId="0"/>
    <xf numFmtId="0" fontId="13" fillId="2" borderId="0"/>
    <xf numFmtId="0" fontId="13" fillId="2" borderId="0"/>
    <xf numFmtId="0" fontId="13" fillId="2" borderId="0"/>
    <xf numFmtId="0" fontId="10" fillId="2" borderId="0"/>
    <xf numFmtId="0" fontId="13" fillId="2" borderId="0"/>
    <xf numFmtId="0" fontId="10" fillId="2" borderId="0"/>
    <xf numFmtId="0" fontId="13" fillId="2" borderId="0"/>
    <xf numFmtId="0" fontId="10" fillId="2" borderId="0"/>
    <xf numFmtId="0" fontId="10" fillId="2" borderId="0"/>
    <xf numFmtId="0" fontId="213" fillId="2" borderId="0"/>
    <xf numFmtId="0" fontId="10"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0" fillId="2" borderId="0"/>
    <xf numFmtId="0" fontId="10" fillId="2" borderId="0"/>
    <xf numFmtId="0" fontId="13" fillId="2" borderId="0"/>
    <xf numFmtId="0" fontId="13" fillId="2" borderId="0"/>
    <xf numFmtId="0" fontId="13" fillId="2" borderId="0"/>
    <xf numFmtId="0" fontId="13" fillId="2" borderId="0"/>
    <xf numFmtId="0" fontId="13" fillId="2" borderId="0"/>
    <xf numFmtId="0" fontId="10" fillId="2" borderId="0"/>
    <xf numFmtId="0" fontId="10" fillId="2" borderId="0"/>
    <xf numFmtId="0" fontId="13" fillId="2" borderId="0"/>
    <xf numFmtId="0" fontId="10" fillId="2" borderId="0"/>
    <xf numFmtId="0" fontId="10" fillId="2" borderId="0"/>
    <xf numFmtId="0" fontId="24" fillId="2" borderId="0"/>
    <xf numFmtId="0" fontId="24" fillId="2" borderId="0"/>
    <xf numFmtId="0" fontId="13" fillId="2" borderId="0"/>
    <xf numFmtId="0" fontId="13" fillId="2" borderId="0"/>
    <xf numFmtId="0" fontId="13" fillId="2" borderId="0"/>
    <xf numFmtId="0" fontId="10" fillId="2" borderId="0"/>
    <xf numFmtId="0" fontId="10" fillId="2" borderId="0"/>
    <xf numFmtId="0" fontId="10" fillId="2" borderId="0"/>
    <xf numFmtId="0" fontId="13" fillId="2" borderId="0"/>
    <xf numFmtId="0" fontId="10" fillId="2" borderId="0"/>
    <xf numFmtId="0" fontId="10" fillId="2" borderId="0"/>
    <xf numFmtId="0" fontId="13" fillId="2" borderId="0"/>
    <xf numFmtId="0" fontId="10" fillId="2" borderId="0"/>
    <xf numFmtId="0" fontId="10" fillId="2" borderId="0"/>
    <xf numFmtId="0" fontId="213" fillId="2" borderId="0"/>
    <xf numFmtId="0" fontId="10" fillId="2" borderId="0"/>
    <xf numFmtId="0" fontId="13" fillId="2" borderId="0"/>
    <xf numFmtId="0" fontId="10" fillId="2" borderId="0"/>
    <xf numFmtId="0" fontId="10" fillId="2" borderId="0"/>
    <xf numFmtId="0" fontId="13" fillId="2" borderId="0"/>
    <xf numFmtId="0" fontId="10" fillId="2" borderId="0"/>
    <xf numFmtId="0" fontId="13" fillId="2" borderId="0"/>
    <xf numFmtId="0" fontId="10" fillId="2" borderId="0"/>
    <xf numFmtId="0" fontId="10" fillId="2" borderId="0"/>
    <xf numFmtId="0" fontId="10" fillId="2" borderId="0"/>
    <xf numFmtId="0" fontId="10" fillId="2" borderId="0"/>
    <xf numFmtId="0" fontId="10" fillId="2" borderId="0"/>
    <xf numFmtId="0" fontId="13" fillId="2" borderId="0"/>
    <xf numFmtId="0" fontId="10" fillId="2" borderId="0"/>
    <xf numFmtId="0" fontId="10"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0" fillId="2" borderId="0"/>
    <xf numFmtId="0" fontId="10" fillId="2" borderId="0"/>
    <xf numFmtId="0" fontId="10" fillId="2" borderId="0"/>
    <xf numFmtId="0" fontId="10" fillId="2" borderId="0"/>
    <xf numFmtId="0" fontId="10" fillId="2" borderId="0"/>
    <xf numFmtId="0" fontId="13" fillId="2" borderId="0"/>
    <xf numFmtId="0" fontId="10" fillId="2" borderId="0"/>
    <xf numFmtId="0" fontId="10" fillId="2" borderId="0"/>
    <xf numFmtId="0" fontId="10" fillId="2" borderId="0"/>
    <xf numFmtId="0" fontId="13" fillId="2" borderId="0"/>
    <xf numFmtId="0" fontId="10" fillId="2" borderId="0"/>
    <xf numFmtId="0" fontId="10" fillId="2" borderId="0"/>
    <xf numFmtId="0" fontId="13" fillId="2" borderId="0"/>
    <xf numFmtId="0" fontId="13" fillId="2" borderId="0"/>
    <xf numFmtId="0" fontId="10" fillId="2" borderId="0"/>
    <xf numFmtId="0" fontId="13" fillId="2" borderId="0"/>
    <xf numFmtId="0" fontId="13" fillId="2" borderId="0"/>
    <xf numFmtId="0" fontId="10" fillId="2" borderId="0"/>
    <xf numFmtId="0" fontId="10" fillId="2" borderId="0"/>
    <xf numFmtId="0" fontId="13" fillId="2" borderId="0"/>
    <xf numFmtId="0" fontId="13" fillId="2" borderId="0"/>
    <xf numFmtId="0" fontId="13" fillId="2" borderId="0"/>
    <xf numFmtId="0" fontId="10" fillId="2" borderId="0"/>
    <xf numFmtId="0" fontId="13" fillId="2" borderId="0"/>
    <xf numFmtId="0" fontId="13" fillId="2" borderId="0"/>
    <xf numFmtId="0" fontId="10" fillId="2" borderId="0"/>
    <xf numFmtId="0" fontId="10" fillId="2" borderId="0"/>
    <xf numFmtId="0" fontId="10" fillId="2" borderId="0"/>
    <xf numFmtId="0" fontId="13" fillId="2" borderId="0"/>
    <xf numFmtId="0" fontId="10" fillId="2" borderId="0"/>
    <xf numFmtId="0" fontId="13" fillId="2" borderId="0"/>
    <xf numFmtId="0" fontId="10" fillId="2" borderId="0"/>
    <xf numFmtId="0" fontId="13" fillId="2" borderId="0"/>
    <xf numFmtId="0" fontId="13" fillId="2" borderId="0"/>
    <xf numFmtId="0" fontId="13" fillId="2" borderId="0"/>
    <xf numFmtId="0" fontId="10" fillId="2" borderId="0"/>
    <xf numFmtId="0" fontId="10" fillId="2" borderId="0"/>
    <xf numFmtId="0" fontId="13" fillId="2" borderId="0"/>
    <xf numFmtId="0" fontId="13" fillId="2" borderId="0"/>
    <xf numFmtId="0" fontId="10" fillId="2" borderId="0"/>
    <xf numFmtId="0" fontId="13" fillId="2" borderId="0"/>
    <xf numFmtId="0" fontId="13" fillId="2" borderId="0"/>
    <xf numFmtId="0" fontId="10" fillId="2" borderId="0"/>
    <xf numFmtId="0" fontId="13" fillId="2" borderId="0"/>
    <xf numFmtId="0" fontId="10" fillId="2" borderId="0"/>
    <xf numFmtId="0" fontId="13" fillId="2" borderId="0"/>
    <xf numFmtId="0" fontId="10" fillId="2" borderId="0"/>
    <xf numFmtId="0" fontId="13" fillId="2" borderId="0"/>
    <xf numFmtId="0" fontId="10" fillId="2" borderId="0"/>
    <xf numFmtId="0" fontId="10" fillId="2" borderId="0"/>
    <xf numFmtId="0" fontId="13" fillId="2" borderId="0"/>
    <xf numFmtId="0" fontId="10" fillId="2" borderId="0"/>
    <xf numFmtId="0" fontId="13" fillId="2" borderId="0"/>
    <xf numFmtId="0" fontId="13" fillId="2" borderId="0"/>
    <xf numFmtId="0" fontId="13"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3" fillId="2" borderId="0"/>
    <xf numFmtId="0" fontId="10" fillId="2" borderId="0"/>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213"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24" fillId="0" borderId="0">
      <alignment wrapText="1"/>
    </xf>
    <xf numFmtId="0" fontId="24"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213"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vertical="top"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vertical="top"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4" fillId="0" borderId="0">
      <alignment wrapText="1"/>
    </xf>
    <xf numFmtId="0" fontId="14" fillId="0" borderId="0">
      <alignment wrapText="1"/>
    </xf>
    <xf numFmtId="0" fontId="14"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alignment wrapText="1"/>
    </xf>
    <xf numFmtId="0" fontId="14" fillId="0" borderId="0">
      <alignment wrapText="1"/>
    </xf>
    <xf numFmtId="0" fontId="10" fillId="0" borderId="0">
      <alignment wrapText="1"/>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12" borderId="0" applyNumberFormat="0" applyBorder="0" applyAlignment="0" applyProtection="0"/>
    <xf numFmtId="0" fontId="24" fillId="0" borderId="0"/>
    <xf numFmtId="0" fontId="25"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7" fillId="13"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102" fillId="0" borderId="0"/>
    <xf numFmtId="0" fontId="85" fillId="0" borderId="0" applyFont="0" applyFill="0" applyBorder="0" applyAlignment="0" applyProtection="0"/>
    <xf numFmtId="0" fontId="85" fillId="0" borderId="0" applyFon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210" fontId="22" fillId="0" borderId="0" applyFont="0" applyFill="0" applyBorder="0" applyAlignment="0" applyProtection="0"/>
    <xf numFmtId="211" fontId="22" fillId="0" borderId="0" applyFont="0" applyFill="0" applyBorder="0" applyAlignment="0" applyProtection="0"/>
    <xf numFmtId="0" fontId="16" fillId="0" borderId="0" applyFont="0" applyFill="0" applyBorder="0" applyAlignment="0" applyProtection="0"/>
    <xf numFmtId="212" fontId="86" fillId="0" borderId="0" applyFont="0" applyFill="0" applyBorder="0" applyAlignment="0" applyProtection="0"/>
    <xf numFmtId="213" fontId="103" fillId="0" borderId="0" applyFont="0" applyFill="0" applyBorder="0" applyAlignment="0" applyProtection="0"/>
    <xf numFmtId="0" fontId="16" fillId="0" borderId="0" applyFont="0" applyFill="0" applyBorder="0" applyAlignment="0" applyProtection="0"/>
    <xf numFmtId="214" fontId="76" fillId="0" borderId="0" applyFont="0" applyFill="0" applyBorder="0" applyAlignment="0" applyProtection="0"/>
    <xf numFmtId="0" fontId="104" fillId="0" borderId="0">
      <alignment horizontal="center" wrapText="1"/>
      <protection locked="0"/>
    </xf>
    <xf numFmtId="0" fontId="105" fillId="0" borderId="0" applyFont="0"/>
    <xf numFmtId="168" fontId="22" fillId="0" borderId="0" applyFont="0" applyFill="0" applyBorder="0" applyAlignment="0" applyProtection="0"/>
    <xf numFmtId="0" fontId="16" fillId="0" borderId="0" applyFont="0" applyFill="0" applyBorder="0" applyAlignment="0" applyProtection="0"/>
    <xf numFmtId="193" fontId="106" fillId="0" borderId="0" applyFont="0" applyFill="0" applyBorder="0" applyAlignment="0" applyProtection="0"/>
    <xf numFmtId="192" fontId="103" fillId="0" borderId="0" applyFont="0" applyFill="0" applyBorder="0" applyAlignment="0" applyProtection="0"/>
    <xf numFmtId="0" fontId="16" fillId="0" borderId="0" applyFont="0" applyFill="0" applyBorder="0" applyAlignment="0" applyProtection="0"/>
    <xf numFmtId="192" fontId="106" fillId="0" borderId="0" applyFont="0" applyFill="0" applyBorder="0" applyAlignment="0" applyProtection="0"/>
    <xf numFmtId="184" fontId="76" fillId="0" borderId="0" applyFont="0" applyFill="0" applyBorder="0" applyAlignment="0" applyProtection="0"/>
    <xf numFmtId="0" fontId="19" fillId="4" borderId="0" applyNumberFormat="0" applyBorder="0" applyAlignment="0" applyProtection="0"/>
    <xf numFmtId="0" fontId="107" fillId="0" borderId="0" applyNumberFormat="0" applyFill="0" applyBorder="0" applyAlignment="0" applyProtection="0"/>
    <xf numFmtId="0" fontId="16" fillId="0" borderId="0"/>
    <xf numFmtId="0" fontId="103" fillId="0" borderId="0"/>
    <xf numFmtId="0" fontId="16" fillId="0" borderId="0"/>
    <xf numFmtId="0" fontId="108" fillId="0" borderId="0"/>
    <xf numFmtId="0" fontId="109" fillId="0" borderId="0"/>
    <xf numFmtId="37" fontId="20" fillId="0" borderId="0"/>
    <xf numFmtId="0" fontId="21" fillId="0" borderId="0"/>
    <xf numFmtId="0" fontId="17" fillId="0" borderId="0"/>
    <xf numFmtId="179" fontId="18" fillId="0" borderId="0" applyFill="0" applyBorder="0" applyAlignment="0"/>
    <xf numFmtId="179" fontId="22" fillId="0" borderId="0" applyFill="0" applyBorder="0" applyAlignment="0"/>
    <xf numFmtId="179" fontId="212" fillId="0" borderId="0" applyFill="0" applyBorder="0" applyAlignment="0"/>
    <xf numFmtId="285" fontId="24" fillId="0" borderId="0" applyFill="0" applyBorder="0" applyAlignment="0"/>
    <xf numFmtId="215" fontId="110" fillId="0" borderId="0" applyFill="0" applyBorder="0" applyAlignment="0"/>
    <xf numFmtId="188" fontId="22" fillId="0" borderId="0" applyFill="0" applyBorder="0" applyAlignment="0"/>
    <xf numFmtId="216" fontId="22" fillId="0" borderId="0" applyFill="0" applyBorder="0" applyAlignment="0"/>
    <xf numFmtId="217" fontId="22" fillId="0" borderId="0" applyFill="0" applyBorder="0" applyAlignment="0"/>
    <xf numFmtId="185" fontId="110" fillId="0" borderId="0" applyFill="0" applyBorder="0" applyAlignment="0"/>
    <xf numFmtId="218" fontId="110" fillId="0" borderId="0" applyFill="0" applyBorder="0" applyAlignment="0"/>
    <xf numFmtId="215" fontId="110" fillId="0" borderId="0" applyFill="0" applyBorder="0" applyAlignment="0"/>
    <xf numFmtId="0" fontId="23" fillId="21" borderId="8" applyNumberFormat="0" applyAlignment="0" applyProtection="0"/>
    <xf numFmtId="0" fontId="111" fillId="0" borderId="0"/>
    <xf numFmtId="219" fontId="112" fillId="0" borderId="4" applyBorder="0"/>
    <xf numFmtId="219" fontId="113" fillId="0" borderId="5">
      <protection locked="0"/>
    </xf>
    <xf numFmtId="220" fontId="86" fillId="0" borderId="0" applyFont="0" applyFill="0" applyBorder="0" applyAlignment="0" applyProtection="0"/>
    <xf numFmtId="43" fontId="73" fillId="0" borderId="0" applyFont="0" applyFill="0" applyBorder="0" applyAlignment="0" applyProtection="0"/>
    <xf numFmtId="221" fontId="114" fillId="0" borderId="0"/>
    <xf numFmtId="221" fontId="114" fillId="0" borderId="0"/>
    <xf numFmtId="221" fontId="114" fillId="0" borderId="0"/>
    <xf numFmtId="221" fontId="114" fillId="0" borderId="0"/>
    <xf numFmtId="221" fontId="114" fillId="0" borderId="0"/>
    <xf numFmtId="221" fontId="114" fillId="0" borderId="0"/>
    <xf numFmtId="221" fontId="114" fillId="0" borderId="0"/>
    <xf numFmtId="221" fontId="114" fillId="0" borderId="0"/>
    <xf numFmtId="168" fontId="3" fillId="0" borderId="0" applyFont="0" applyFill="0" applyBorder="0" applyAlignment="0" applyProtection="0"/>
    <xf numFmtId="168" fontId="18"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1" fontId="3" fillId="0" borderId="0" applyFont="0" applyFill="0" applyBorder="0" applyAlignment="0" applyProtection="0"/>
    <xf numFmtId="168" fontId="25" fillId="0" borderId="0" applyFont="0" applyFill="0" applyBorder="0" applyAlignment="0" applyProtection="0"/>
    <xf numFmtId="41" fontId="26" fillId="0" borderId="0" applyFont="0" applyFill="0" applyBorder="0" applyAlignment="0" applyProtection="0"/>
    <xf numFmtId="168" fontId="212" fillId="0" borderId="0" applyFont="0" applyFill="0" applyBorder="0" applyAlignment="0" applyProtection="0"/>
    <xf numFmtId="168" fontId="214" fillId="0" borderId="0" applyFont="0" applyFill="0" applyBorder="0" applyAlignment="0" applyProtection="0"/>
    <xf numFmtId="168" fontId="212" fillId="0" borderId="0" applyFont="0" applyFill="0" applyBorder="0" applyAlignment="0" applyProtection="0"/>
    <xf numFmtId="185" fontId="110" fillId="0" borderId="0" applyFont="0" applyFill="0" applyBorder="0" applyAlignment="0" applyProtection="0"/>
    <xf numFmtId="49" fontId="115" fillId="0" borderId="9" applyNumberFormat="0" applyFont="0" applyFill="0" applyBorder="0" applyProtection="0">
      <alignment horizontal="center" vertical="center" wrapText="1"/>
    </xf>
    <xf numFmtId="0" fontId="24" fillId="0" borderId="10" applyNumberFormat="0" applyBorder="0">
      <alignment horizontal="center" vertical="center" wrapText="1"/>
    </xf>
    <xf numFmtId="187" fontId="116" fillId="0" borderId="5" applyFont="0" applyAlignment="0">
      <alignment horizontal="center"/>
    </xf>
    <xf numFmtId="170" fontId="22" fillId="0" borderId="0" applyFont="0" applyFill="0" applyBorder="0" applyAlignment="0" applyProtection="0"/>
    <xf numFmtId="170" fontId="22" fillId="0" borderId="0" applyFont="0" applyFill="0" applyBorder="0" applyAlignment="0" applyProtection="0"/>
    <xf numFmtId="172" fontId="3"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0" fontId="18" fillId="0" borderId="0" applyFont="0" applyFill="0" applyBorder="0" applyAlignment="0" applyProtection="0"/>
    <xf numFmtId="43"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8" fontId="72" fillId="0" borderId="0" applyFont="0" applyFill="0" applyBorder="0" applyAlignment="0" applyProtection="0"/>
    <xf numFmtId="178" fontId="239" fillId="0" borderId="0" applyFont="0" applyFill="0" applyBorder="0" applyAlignment="0" applyProtection="0"/>
    <xf numFmtId="170" fontId="12" fillId="0" borderId="0" applyFont="0" applyFill="0" applyBorder="0" applyAlignment="0" applyProtection="0"/>
    <xf numFmtId="170" fontId="240" fillId="0" borderId="0" applyFont="0" applyFill="0" applyBorder="0" applyAlignment="0" applyProtection="0"/>
    <xf numFmtId="170" fontId="22" fillId="0" borderId="0" applyFont="0" applyFill="0" applyBorder="0" applyAlignment="0" applyProtection="0"/>
    <xf numFmtId="170" fontId="54" fillId="0" borderId="0" applyFont="0" applyFill="0" applyBorder="0" applyAlignment="0" applyProtection="0"/>
    <xf numFmtId="170" fontId="54"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3"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3" fontId="3" fillId="0" borderId="0" applyFont="0" applyFill="0" applyBorder="0" applyAlignment="0" applyProtection="0"/>
    <xf numFmtId="189"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89" fontId="12" fillId="0" borderId="0" applyFont="0" applyFill="0" applyBorder="0" applyAlignment="0" applyProtection="0"/>
    <xf numFmtId="178" fontId="72" fillId="0" borderId="0" applyFont="0" applyFill="0" applyBorder="0" applyAlignment="0" applyProtection="0"/>
    <xf numFmtId="178" fontId="72" fillId="0" borderId="0" applyFont="0" applyFill="0" applyBorder="0" applyAlignment="0" applyProtection="0"/>
    <xf numFmtId="170" fontId="212" fillId="0" borderId="0" applyFont="0" applyFill="0" applyBorder="0" applyAlignment="0" applyProtection="0"/>
    <xf numFmtId="43" fontId="2" fillId="0" borderId="0" applyFont="0" applyFill="0" applyBorder="0" applyAlignment="0" applyProtection="0"/>
    <xf numFmtId="178" fontId="54" fillId="0" borderId="0" applyFont="0" applyFill="0" applyBorder="0" applyAlignment="0" applyProtection="0"/>
    <xf numFmtId="170" fontId="117" fillId="0" borderId="0" applyFont="0" applyFill="0" applyBorder="0" applyAlignment="0" applyProtection="0"/>
    <xf numFmtId="170" fontId="40" fillId="0" borderId="0" applyFont="0" applyFill="0" applyBorder="0" applyAlignment="0" applyProtection="0"/>
    <xf numFmtId="170" fontId="212" fillId="0" borderId="0" applyFont="0" applyFill="0" applyBorder="0" applyAlignment="0" applyProtection="0"/>
    <xf numFmtId="170" fontId="1" fillId="0" borderId="0" applyFont="0" applyFill="0" applyBorder="0" applyAlignment="0" applyProtection="0"/>
    <xf numFmtId="170" fontId="212"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0" fontId="2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70" fontId="212" fillId="0" borderId="0" applyFont="0" applyFill="0" applyBorder="0" applyAlignment="0" applyProtection="0"/>
    <xf numFmtId="43" fontId="1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12" fillId="0" borderId="0" applyFont="0" applyFill="0" applyBorder="0" applyAlignment="0" applyProtection="0"/>
    <xf numFmtId="170" fontId="12"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70" fontId="1" fillId="0" borderId="0" applyFont="0" applyFill="0" applyBorder="0" applyAlignment="0" applyProtection="0"/>
    <xf numFmtId="189" fontId="12" fillId="0" borderId="0" applyFont="0" applyFill="0" applyBorder="0" applyAlignment="0" applyProtection="0"/>
    <xf numFmtId="0" fontId="27" fillId="0" borderId="0" applyFont="0" applyFill="0" applyBorder="0" applyAlignment="0" applyProtection="0"/>
    <xf numFmtId="170" fontId="12" fillId="0" borderId="0" applyFont="0" applyFill="0" applyBorder="0" applyAlignment="0" applyProtection="0"/>
    <xf numFmtId="166" fontId="3" fillId="0" borderId="0" applyFont="0" applyFill="0" applyBorder="0" applyAlignment="0" applyProtection="0"/>
    <xf numFmtId="0" fontId="27" fillId="0" borderId="0" applyFont="0" applyFill="0" applyBorder="0" applyAlignment="0" applyProtection="0"/>
    <xf numFmtId="170" fontId="12"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7" fillId="0" borderId="0" applyFont="0" applyFill="0" applyBorder="0" applyAlignment="0" applyProtection="0"/>
    <xf numFmtId="222" fontId="94" fillId="0" borderId="0"/>
    <xf numFmtId="3" fontId="22" fillId="0" borderId="0" applyFont="0" applyFill="0" applyBorder="0" applyAlignment="0" applyProtection="0"/>
    <xf numFmtId="0" fontId="22" fillId="0" borderId="5" applyFont="0" applyFill="0" applyProtection="0">
      <alignment vertical="center"/>
    </xf>
    <xf numFmtId="223" fontId="22" fillId="0" borderId="5" applyFont="0" applyFill="0" applyBorder="0" applyProtection="0">
      <alignment vertical="center"/>
    </xf>
    <xf numFmtId="0" fontId="118" fillId="0" borderId="0" applyNumberFormat="0" applyAlignment="0">
      <alignment horizontal="left"/>
    </xf>
    <xf numFmtId="0" fontId="119" fillId="0" borderId="0" applyNumberFormat="0" applyAlignment="0"/>
    <xf numFmtId="197" fontId="102" fillId="0" borderId="0" applyFont="0" applyFill="0" applyBorder="0" applyAlignment="0" applyProtection="0"/>
    <xf numFmtId="224" fontId="116" fillId="0" borderId="0" applyFont="0" applyFill="0" applyBorder="0" applyAlignment="0" applyProtection="0"/>
    <xf numFmtId="225" fontId="91" fillId="0" borderId="0" applyFont="0" applyFill="0" applyBorder="0" applyAlignment="0" applyProtection="0"/>
    <xf numFmtId="183" fontId="52" fillId="0" borderId="0" applyFont="0" applyFill="0" applyBorder="0" applyAlignment="0" applyProtection="0"/>
    <xf numFmtId="226" fontId="120" fillId="0" borderId="0">
      <protection locked="0"/>
    </xf>
    <xf numFmtId="227" fontId="120" fillId="0" borderId="0">
      <protection locked="0"/>
    </xf>
    <xf numFmtId="228" fontId="121" fillId="0" borderId="11">
      <protection locked="0"/>
    </xf>
    <xf numFmtId="229" fontId="120" fillId="0" borderId="0">
      <protection locked="0"/>
    </xf>
    <xf numFmtId="230" fontId="120" fillId="0" borderId="0">
      <protection locked="0"/>
    </xf>
    <xf numFmtId="229" fontId="120" fillId="0" borderId="0" applyNumberFormat="0">
      <protection locked="0"/>
    </xf>
    <xf numFmtId="229" fontId="120" fillId="0" borderId="0">
      <protection locked="0"/>
    </xf>
    <xf numFmtId="219" fontId="122" fillId="0" borderId="2"/>
    <xf numFmtId="231" fontId="122" fillId="0" borderId="2"/>
    <xf numFmtId="215" fontId="110" fillId="0" borderId="0" applyFont="0" applyFill="0" applyBorder="0" applyAlignment="0" applyProtection="0"/>
    <xf numFmtId="169" fontId="22" fillId="0" borderId="0" applyFont="0" applyFill="0" applyBorder="0" applyAlignment="0" applyProtection="0"/>
    <xf numFmtId="180" fontId="22" fillId="0" borderId="0" applyFont="0" applyFill="0" applyBorder="0" applyAlignment="0" applyProtection="0"/>
    <xf numFmtId="232" fontId="22" fillId="0" borderId="0"/>
    <xf numFmtId="233" fontId="123" fillId="0" borderId="5"/>
    <xf numFmtId="0" fontId="28" fillId="22" borderId="12" applyNumberFormat="0" applyAlignment="0" applyProtection="0"/>
    <xf numFmtId="173" fontId="24" fillId="0" borderId="0" applyFont="0" applyFill="0" applyBorder="0" applyAlignment="0" applyProtection="0"/>
    <xf numFmtId="1" fontId="124" fillId="0" borderId="13" applyBorder="0"/>
    <xf numFmtId="219" fontId="79" fillId="0" borderId="2">
      <alignment horizontal="center"/>
      <protection hidden="1"/>
    </xf>
    <xf numFmtId="234" fontId="125" fillId="0" borderId="2">
      <alignment horizontal="center"/>
      <protection hidden="1"/>
    </xf>
    <xf numFmtId="219" fontId="79" fillId="0" borderId="2">
      <alignment horizontal="center"/>
      <protection hidden="1"/>
    </xf>
    <xf numFmtId="179" fontId="24" fillId="0" borderId="14"/>
    <xf numFmtId="0" fontId="22" fillId="0" borderId="0" applyFont="0" applyFill="0" applyBorder="0" applyAlignment="0" applyProtection="0"/>
    <xf numFmtId="14" fontId="88" fillId="0" borderId="0" applyFill="0" applyBorder="0" applyAlignment="0"/>
    <xf numFmtId="168" fontId="126" fillId="0" borderId="0" applyFont="0" applyFill="0" applyBorder="0" applyAlignment="0" applyProtection="0"/>
    <xf numFmtId="4" fontId="110" fillId="0" borderId="0" applyFont="0" applyFill="0" applyBorder="0" applyAlignment="0" applyProtection="0"/>
    <xf numFmtId="235" fontId="24" fillId="0" borderId="0"/>
    <xf numFmtId="236" fontId="25" fillId="0" borderId="1"/>
    <xf numFmtId="237" fontId="91" fillId="0" borderId="0" applyFont="0" applyFill="0" applyBorder="0" applyAlignment="0" applyProtection="0"/>
    <xf numFmtId="238" fontId="22" fillId="0" borderId="0" applyFont="0" applyFill="0" applyBorder="0" applyAlignment="0" applyProtection="0"/>
    <xf numFmtId="239" fontId="22" fillId="0" borderId="0"/>
    <xf numFmtId="240" fontId="25" fillId="0" borderId="0"/>
    <xf numFmtId="0" fontId="102" fillId="0" borderId="0">
      <alignment vertical="top" wrapText="1"/>
    </xf>
    <xf numFmtId="173" fontId="127" fillId="0" borderId="0" applyFont="0" applyFill="0" applyBorder="0" applyAlignment="0" applyProtection="0"/>
    <xf numFmtId="183" fontId="127" fillId="0" borderId="0" applyFont="0" applyFill="0" applyBorder="0" applyAlignment="0" applyProtection="0"/>
    <xf numFmtId="173" fontId="127" fillId="0" borderId="0" applyFont="0" applyFill="0" applyBorder="0" applyAlignment="0" applyProtection="0"/>
    <xf numFmtId="168" fontId="127" fillId="0" borderId="0" applyFont="0" applyFill="0" applyBorder="0" applyAlignment="0" applyProtection="0"/>
    <xf numFmtId="173" fontId="127" fillId="0" borderId="0" applyFont="0" applyFill="0" applyBorder="0" applyAlignment="0" applyProtection="0"/>
    <xf numFmtId="173" fontId="127" fillId="0" borderId="0" applyFont="0" applyFill="0" applyBorder="0" applyAlignment="0" applyProtection="0"/>
    <xf numFmtId="168" fontId="127" fillId="0" borderId="0" applyFont="0" applyFill="0" applyBorder="0" applyAlignment="0" applyProtection="0"/>
    <xf numFmtId="168" fontId="127" fillId="0" borderId="0" applyFont="0" applyFill="0" applyBorder="0" applyAlignment="0" applyProtection="0"/>
    <xf numFmtId="168" fontId="127" fillId="0" borderId="0" applyFont="0" applyFill="0" applyBorder="0" applyAlignment="0" applyProtection="0"/>
    <xf numFmtId="173" fontId="127" fillId="0" borderId="0" applyFont="0" applyFill="0" applyBorder="0" applyAlignment="0" applyProtection="0"/>
    <xf numFmtId="173" fontId="127" fillId="0" borderId="0" applyFont="0" applyFill="0" applyBorder="0" applyAlignment="0" applyProtection="0"/>
    <xf numFmtId="173" fontId="127" fillId="0" borderId="0" applyFont="0" applyFill="0" applyBorder="0" applyAlignment="0" applyProtection="0"/>
    <xf numFmtId="168" fontId="127" fillId="0" borderId="0" applyFont="0" applyFill="0" applyBorder="0" applyAlignment="0" applyProtection="0"/>
    <xf numFmtId="168" fontId="127" fillId="0" borderId="0" applyFont="0" applyFill="0" applyBorder="0" applyAlignment="0" applyProtection="0"/>
    <xf numFmtId="41" fontId="127" fillId="0" borderId="0" applyFont="0" applyFill="0" applyBorder="0" applyAlignment="0" applyProtection="0"/>
    <xf numFmtId="41" fontId="127" fillId="0" borderId="0" applyFont="0" applyFill="0" applyBorder="0" applyAlignment="0" applyProtection="0"/>
    <xf numFmtId="168" fontId="127" fillId="0" borderId="0" applyFont="0" applyFill="0" applyBorder="0" applyAlignment="0" applyProtection="0"/>
    <xf numFmtId="183" fontId="127" fillId="0" borderId="0" applyFont="0" applyFill="0" applyBorder="0" applyAlignment="0" applyProtection="0"/>
    <xf numFmtId="170" fontId="127" fillId="0" borderId="0" applyFont="0" applyFill="0" applyBorder="0" applyAlignment="0" applyProtection="0"/>
    <xf numFmtId="183" fontId="127" fillId="0" borderId="0" applyFont="0" applyFill="0" applyBorder="0" applyAlignment="0" applyProtection="0"/>
    <xf numFmtId="183" fontId="127" fillId="0" borderId="0" applyFont="0" applyFill="0" applyBorder="0" applyAlignment="0" applyProtection="0"/>
    <xf numFmtId="170" fontId="127" fillId="0" borderId="0" applyFont="0" applyFill="0" applyBorder="0" applyAlignment="0" applyProtection="0"/>
    <xf numFmtId="170" fontId="127" fillId="0" borderId="0" applyFont="0" applyFill="0" applyBorder="0" applyAlignment="0" applyProtection="0"/>
    <xf numFmtId="170" fontId="127" fillId="0" borderId="0" applyFont="0" applyFill="0" applyBorder="0" applyAlignment="0" applyProtection="0"/>
    <xf numFmtId="183" fontId="127" fillId="0" borderId="0" applyFont="0" applyFill="0" applyBorder="0" applyAlignment="0" applyProtection="0"/>
    <xf numFmtId="183" fontId="127" fillId="0" borderId="0" applyFont="0" applyFill="0" applyBorder="0" applyAlignment="0" applyProtection="0"/>
    <xf numFmtId="183" fontId="127" fillId="0" borderId="0" applyFont="0" applyFill="0" applyBorder="0" applyAlignment="0" applyProtection="0"/>
    <xf numFmtId="170" fontId="127" fillId="0" borderId="0" applyFont="0" applyFill="0" applyBorder="0" applyAlignment="0" applyProtection="0"/>
    <xf numFmtId="170"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170" fontId="127" fillId="0" borderId="0" applyFont="0" applyFill="0" applyBorder="0" applyAlignment="0" applyProtection="0"/>
    <xf numFmtId="0" fontId="58" fillId="21" borderId="15" applyNumberFormat="0" applyAlignment="0" applyProtection="0"/>
    <xf numFmtId="0" fontId="59" fillId="8" borderId="8" applyNumberFormat="0" applyAlignment="0" applyProtection="0"/>
    <xf numFmtId="0" fontId="60" fillId="0" borderId="16" applyNumberFormat="0" applyFill="0" applyAlignment="0" applyProtection="0"/>
    <xf numFmtId="0" fontId="61" fillId="0" borderId="17" applyNumberFormat="0" applyFill="0" applyAlignment="0" applyProtection="0"/>
    <xf numFmtId="0" fontId="62" fillId="0" borderId="18" applyNumberFormat="0" applyFill="0" applyAlignment="0" applyProtection="0"/>
    <xf numFmtId="0" fontId="62" fillId="0" borderId="0" applyNumberFormat="0" applyFill="0" applyBorder="0" applyAlignment="0" applyProtection="0"/>
    <xf numFmtId="3" fontId="24" fillId="0" borderId="0" applyFont="0" applyBorder="0" applyAlignment="0"/>
    <xf numFmtId="0" fontId="128" fillId="0" borderId="0">
      <alignment vertical="center"/>
    </xf>
    <xf numFmtId="0" fontId="22" fillId="0" borderId="0" applyFill="0" applyBorder="0" applyAlignment="0"/>
    <xf numFmtId="215" fontId="110" fillId="0" borderId="0" applyFill="0" applyBorder="0" applyAlignment="0"/>
    <xf numFmtId="185" fontId="110" fillId="0" borderId="0" applyFill="0" applyBorder="0" applyAlignment="0"/>
    <xf numFmtId="218" fontId="110" fillId="0" borderId="0" applyFill="0" applyBorder="0" applyAlignment="0"/>
    <xf numFmtId="215" fontId="110" fillId="0" borderId="0" applyFill="0" applyBorder="0" applyAlignment="0"/>
    <xf numFmtId="0" fontId="129" fillId="0" borderId="0" applyNumberFormat="0" applyAlignment="0">
      <alignment horizontal="left"/>
    </xf>
    <xf numFmtId="241" fontId="24" fillId="0" borderId="0" applyFont="0" applyFill="0" applyBorder="0" applyAlignment="0" applyProtection="0"/>
    <xf numFmtId="0" fontId="29" fillId="0" borderId="0" applyNumberFormat="0" applyFill="0" applyBorder="0" applyAlignment="0" applyProtection="0"/>
    <xf numFmtId="3" fontId="24" fillId="0" borderId="0" applyFont="0" applyBorder="0" applyAlignment="0"/>
    <xf numFmtId="2" fontId="22" fillId="0" borderId="0" applyFont="0" applyFill="0" applyBorder="0" applyAlignment="0" applyProtection="0"/>
    <xf numFmtId="0" fontId="130" fillId="0" borderId="0" applyNumberFormat="0" applyFill="0" applyBorder="0" applyAlignment="0" applyProtection="0"/>
    <xf numFmtId="0" fontId="131" fillId="0" borderId="0" applyNumberFormat="0" applyFill="0" applyBorder="0" applyProtection="0">
      <alignment vertical="center"/>
    </xf>
    <xf numFmtId="0" fontId="132" fillId="0" borderId="0" applyNumberFormat="0" applyFill="0" applyBorder="0" applyAlignment="0" applyProtection="0"/>
    <xf numFmtId="0" fontId="133" fillId="0" borderId="0" applyNumberFormat="0" applyFill="0" applyBorder="0" applyProtection="0">
      <alignment vertical="center"/>
    </xf>
    <xf numFmtId="0" fontId="134" fillId="0" borderId="0" applyNumberFormat="0" applyFill="0" applyBorder="0" applyAlignment="0" applyProtection="0"/>
    <xf numFmtId="0" fontId="135" fillId="0" borderId="0" applyNumberFormat="0" applyFill="0" applyBorder="0" applyAlignment="0" applyProtection="0"/>
    <xf numFmtId="242" fontId="136" fillId="0" borderId="19" applyNumberFormat="0" applyFill="0" applyBorder="0" applyAlignment="0" applyProtection="0"/>
    <xf numFmtId="0" fontId="137" fillId="0" borderId="0" applyNumberFormat="0" applyFill="0" applyBorder="0" applyAlignment="0" applyProtection="0"/>
    <xf numFmtId="0" fontId="22" fillId="23" borderId="20" applyNumberFormat="0" applyFont="0" applyAlignment="0" applyProtection="0"/>
    <xf numFmtId="0" fontId="30" fillId="5" borderId="0" applyNumberFormat="0" applyBorder="0" applyAlignment="0" applyProtection="0"/>
    <xf numFmtId="38" fontId="31" fillId="2" borderId="0" applyNumberFormat="0" applyBorder="0" applyAlignment="0" applyProtection="0"/>
    <xf numFmtId="243" fontId="75" fillId="2" borderId="0" applyBorder="0" applyProtection="0"/>
    <xf numFmtId="0" fontId="138" fillId="0" borderId="7" applyNumberFormat="0" applyFill="0" applyBorder="0" applyAlignment="0" applyProtection="0">
      <alignment horizontal="center" vertical="center"/>
    </xf>
    <xf numFmtId="0" fontId="139" fillId="0" borderId="0" applyNumberFormat="0" applyFont="0" applyBorder="0" applyAlignment="0">
      <alignment horizontal="left" vertical="center"/>
    </xf>
    <xf numFmtId="0" fontId="140" fillId="24" borderId="0"/>
    <xf numFmtId="0" fontId="141" fillId="0" borderId="0">
      <alignment horizontal="left"/>
    </xf>
    <xf numFmtId="0" fontId="32" fillId="0" borderId="21" applyNumberFormat="0" applyAlignment="0" applyProtection="0">
      <alignment horizontal="left" vertical="center"/>
    </xf>
    <xf numFmtId="0" fontId="32" fillId="0" borderId="22">
      <alignment horizontal="left" vertical="center"/>
    </xf>
    <xf numFmtId="0" fontId="33" fillId="0" borderId="0" applyNumberFormat="0" applyFill="0" applyBorder="0" applyAlignment="0" applyProtection="0"/>
    <xf numFmtId="0" fontId="34" fillId="0" borderId="16" applyNumberFormat="0" applyFill="0" applyAlignment="0" applyProtection="0"/>
    <xf numFmtId="0" fontId="32" fillId="0" borderId="0" applyNumberForma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244" fontId="142" fillId="0" borderId="0">
      <protection locked="0"/>
    </xf>
    <xf numFmtId="244" fontId="142" fillId="0" borderId="0">
      <protection locked="0"/>
    </xf>
    <xf numFmtId="0" fontId="143" fillId="0" borderId="23">
      <alignment horizontal="center"/>
    </xf>
    <xf numFmtId="0" fontId="143" fillId="0" borderId="0">
      <alignment horizontal="center"/>
    </xf>
    <xf numFmtId="245" fontId="144" fillId="25" borderId="1" applyNumberFormat="0" applyAlignment="0">
      <alignment horizontal="left" vertical="top"/>
    </xf>
    <xf numFmtId="49" fontId="37" fillId="0" borderId="1">
      <alignment vertical="center"/>
    </xf>
    <xf numFmtId="0" fontId="94" fillId="0" borderId="0"/>
    <xf numFmtId="173" fontId="24" fillId="0" borderId="0" applyFont="0" applyFill="0" applyBorder="0" applyAlignment="0" applyProtection="0"/>
    <xf numFmtId="38" fontId="89" fillId="0" borderId="0" applyFont="0" applyFill="0" applyBorder="0" applyAlignment="0" applyProtection="0"/>
    <xf numFmtId="203" fontId="86" fillId="0" borderId="0" applyFont="0" applyFill="0" applyBorder="0" applyAlignment="0" applyProtection="0"/>
    <xf numFmtId="0" fontId="145" fillId="0" borderId="0"/>
    <xf numFmtId="246" fontId="146"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0" fontId="31" fillId="26" borderId="1" applyNumberFormat="0" applyBorder="0" applyAlignment="0" applyProtection="0"/>
    <xf numFmtId="0" fontId="38" fillId="8" borderId="8" applyNumberFormat="0" applyAlignment="0" applyProtection="0"/>
    <xf numFmtId="247" fontId="86" fillId="27" borderId="0"/>
    <xf numFmtId="2" fontId="147" fillId="0" borderId="24" applyBorder="0"/>
    <xf numFmtId="0" fontId="63" fillId="22" borderId="12" applyNumberFormat="0" applyAlignment="0" applyProtection="0"/>
    <xf numFmtId="173" fontId="24" fillId="0" borderId="0" applyFont="0" applyFill="0" applyBorder="0" applyAlignment="0" applyProtection="0"/>
    <xf numFmtId="0" fontId="24" fillId="0" borderId="0"/>
    <xf numFmtId="0" fontId="104" fillId="0" borderId="25">
      <alignment horizontal="centerContinuous"/>
    </xf>
    <xf numFmtId="0" fontId="22" fillId="0" borderId="0"/>
    <xf numFmtId="0" fontId="3" fillId="0" borderId="0"/>
    <xf numFmtId="0" fontId="12" fillId="0" borderId="0"/>
    <xf numFmtId="0" fontId="22" fillId="0" borderId="0"/>
    <xf numFmtId="0" fontId="26" fillId="0" borderId="0"/>
    <xf numFmtId="0" fontId="26" fillId="0" borderId="0"/>
    <xf numFmtId="0" fontId="148" fillId="0" borderId="0" applyNumberFormat="0" applyFill="0" applyBorder="0" applyAlignment="0" applyProtection="0">
      <alignment vertical="top"/>
      <protection locked="0"/>
    </xf>
    <xf numFmtId="0" fontId="22" fillId="0" borderId="0" applyFill="0" applyBorder="0" applyAlignment="0"/>
    <xf numFmtId="215" fontId="110" fillId="0" borderId="0" applyFill="0" applyBorder="0" applyAlignment="0"/>
    <xf numFmtId="185" fontId="110" fillId="0" borderId="0" applyFill="0" applyBorder="0" applyAlignment="0"/>
    <xf numFmtId="218" fontId="110" fillId="0" borderId="0" applyFill="0" applyBorder="0" applyAlignment="0"/>
    <xf numFmtId="215" fontId="110" fillId="0" borderId="0" applyFill="0" applyBorder="0" applyAlignment="0"/>
    <xf numFmtId="0" fontId="39" fillId="0" borderId="26" applyNumberFormat="0" applyFill="0" applyAlignment="0" applyProtection="0"/>
    <xf numFmtId="247" fontId="86" fillId="28" borderId="0"/>
    <xf numFmtId="219" fontId="31" fillId="0" borderId="4" applyFont="0"/>
    <xf numFmtId="3" fontId="22" fillId="0" borderId="27"/>
    <xf numFmtId="0" fontId="91" fillId="0" borderId="0"/>
    <xf numFmtId="179" fontId="149" fillId="0" borderId="28" applyNumberFormat="0" applyFont="0" applyFill="0" applyBorder="0">
      <alignment horizontal="center"/>
    </xf>
    <xf numFmtId="38" fontId="89" fillId="0" borderId="0" applyFont="0" applyFill="0" applyBorder="0" applyAlignment="0" applyProtection="0"/>
    <xf numFmtId="4" fontId="110" fillId="0" borderId="0" applyFont="0" applyFill="0" applyBorder="0" applyAlignment="0" applyProtection="0"/>
    <xf numFmtId="38" fontId="89" fillId="0" borderId="0" applyFont="0" applyFill="0" applyBorder="0" applyAlignment="0" applyProtection="0"/>
    <xf numFmtId="40" fontId="89" fillId="0" borderId="0" applyFont="0" applyFill="0" applyBorder="0" applyAlignment="0" applyProtection="0"/>
    <xf numFmtId="173" fontId="22" fillId="0" borderId="0" applyFont="0" applyFill="0" applyBorder="0" applyAlignment="0" applyProtection="0"/>
    <xf numFmtId="183" fontId="22" fillId="0" borderId="0" applyFont="0" applyFill="0" applyBorder="0" applyAlignment="0" applyProtection="0"/>
    <xf numFmtId="0" fontId="150" fillId="0" borderId="23"/>
    <xf numFmtId="181" fontId="18" fillId="0" borderId="28"/>
    <xf numFmtId="181" fontId="22" fillId="0" borderId="28"/>
    <xf numFmtId="181" fontId="212" fillId="0" borderId="28"/>
    <xf numFmtId="286" fontId="190" fillId="0" borderId="28"/>
    <xf numFmtId="248" fontId="86" fillId="0" borderId="0" applyFont="0" applyFill="0" applyBorder="0" applyAlignment="0" applyProtection="0"/>
    <xf numFmtId="249" fontId="76" fillId="0" borderId="0" applyFont="0" applyFill="0" applyBorder="0" applyAlignment="0" applyProtection="0"/>
    <xf numFmtId="250" fontId="89" fillId="0" borderId="0" applyFont="0" applyFill="0" applyBorder="0" applyAlignment="0" applyProtection="0"/>
    <xf numFmtId="251" fontId="89" fillId="0" borderId="0" applyFont="0" applyFill="0" applyBorder="0" applyAlignment="0" applyProtection="0"/>
    <xf numFmtId="252" fontId="22" fillId="0" borderId="0" applyFont="0" applyFill="0" applyBorder="0" applyAlignment="0" applyProtection="0"/>
    <xf numFmtId="253" fontId="22" fillId="0" borderId="0" applyFont="0" applyFill="0" applyBorder="0" applyAlignment="0" applyProtection="0"/>
    <xf numFmtId="0" fontId="151" fillId="0" borderId="5"/>
    <xf numFmtId="0" fontId="40" fillId="0" borderId="0" applyNumberFormat="0" applyFont="0" applyFill="0" applyAlignment="0"/>
    <xf numFmtId="0" fontId="122" fillId="0" borderId="0">
      <alignment horizontal="justify" vertical="top"/>
    </xf>
    <xf numFmtId="0" fontId="41" fillId="29" borderId="0" applyNumberFormat="0" applyBorder="0" applyAlignment="0" applyProtection="0"/>
    <xf numFmtId="0" fontId="116" fillId="0" borderId="1"/>
    <xf numFmtId="0" fontId="94" fillId="0" borderId="0"/>
    <xf numFmtId="0" fontId="116" fillId="0" borderId="1"/>
    <xf numFmtId="37" fontId="152" fillId="0" borderId="0"/>
    <xf numFmtId="0" fontId="153" fillId="0" borderId="1" applyNumberFormat="0" applyFont="0" applyFill="0" applyBorder="0" applyAlignment="0">
      <alignment horizontal="center"/>
    </xf>
    <xf numFmtId="182" fontId="18" fillId="0" borderId="0"/>
    <xf numFmtId="182" fontId="22" fillId="0" borderId="0"/>
    <xf numFmtId="182" fontId="212" fillId="0" borderId="0"/>
    <xf numFmtId="0" fontId="205" fillId="0" borderId="0"/>
    <xf numFmtId="0" fontId="93" fillId="0" borderId="0"/>
    <xf numFmtId="0" fontId="241" fillId="0" borderId="0"/>
    <xf numFmtId="3" fontId="3" fillId="0" borderId="0">
      <alignment vertical="center" wrapText="1"/>
    </xf>
    <xf numFmtId="0" fontId="241" fillId="0" borderId="0"/>
    <xf numFmtId="0" fontId="3" fillId="0" borderId="0"/>
    <xf numFmtId="0" fontId="25" fillId="0" borderId="0"/>
    <xf numFmtId="0" fontId="18" fillId="0" borderId="0"/>
    <xf numFmtId="0" fontId="18" fillId="0" borderId="0"/>
    <xf numFmtId="0" fontId="18" fillId="0" borderId="0"/>
    <xf numFmtId="0" fontId="18" fillId="0" borderId="0"/>
    <xf numFmtId="0" fontId="55" fillId="0" borderId="0"/>
    <xf numFmtId="0" fontId="3" fillId="0" borderId="0"/>
    <xf numFmtId="0" fontId="3" fillId="0" borderId="0"/>
    <xf numFmtId="0" fontId="74"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94" fillId="0" borderId="0"/>
    <xf numFmtId="0" fontId="22" fillId="0" borderId="0"/>
    <xf numFmtId="0" fontId="154"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8" fillId="0" borderId="0"/>
    <xf numFmtId="0" fontId="212" fillId="0" borderId="0"/>
    <xf numFmtId="0" fontId="242" fillId="0" borderId="0"/>
    <xf numFmtId="0" fontId="22" fillId="0" borderId="0"/>
    <xf numFmtId="0" fontId="22" fillId="0" borderId="0"/>
    <xf numFmtId="1" fontId="3" fillId="0" borderId="0">
      <alignment vertical="center" wrapText="1"/>
    </xf>
    <xf numFmtId="0" fontId="3" fillId="0" borderId="0"/>
    <xf numFmtId="0" fontId="3" fillId="0" borderId="0"/>
    <xf numFmtId="0" fontId="204" fillId="0" borderId="0"/>
    <xf numFmtId="0" fontId="206" fillId="0" borderId="0"/>
    <xf numFmtId="0" fontId="40" fillId="0" borderId="0"/>
    <xf numFmtId="0" fontId="211" fillId="0" borderId="0"/>
    <xf numFmtId="0" fontId="212" fillId="0" borderId="0"/>
    <xf numFmtId="0" fontId="243" fillId="0" borderId="0"/>
    <xf numFmtId="0" fontId="2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2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240" fillId="0" borderId="0"/>
    <xf numFmtId="0" fontId="240" fillId="0" borderId="0"/>
    <xf numFmtId="0" fontId="3" fillId="0" borderId="0"/>
    <xf numFmtId="0" fontId="3" fillId="0" borderId="0"/>
    <xf numFmtId="0" fontId="3" fillId="0" borderId="0"/>
    <xf numFmtId="0" fontId="3" fillId="0" borderId="0"/>
    <xf numFmtId="0" fontId="3" fillId="0" borderId="0"/>
    <xf numFmtId="0" fontId="12" fillId="0" borderId="0"/>
    <xf numFmtId="0" fontId="26" fillId="0" borderId="0"/>
    <xf numFmtId="0" fontId="212" fillId="0" borderId="0"/>
    <xf numFmtId="0" fontId="240" fillId="0" borderId="0"/>
    <xf numFmtId="0" fontId="240" fillId="0" borderId="0"/>
    <xf numFmtId="0" fontId="3" fillId="0" borderId="0"/>
    <xf numFmtId="0" fontId="3" fillId="0" borderId="0"/>
    <xf numFmtId="0" fontId="3" fillId="0" borderId="0"/>
    <xf numFmtId="0" fontId="22" fillId="0" borderId="0"/>
    <xf numFmtId="0" fontId="24" fillId="0" borderId="0"/>
    <xf numFmtId="0" fontId="18" fillId="0" borderId="0"/>
    <xf numFmtId="0" fontId="239" fillId="0" borderId="0"/>
    <xf numFmtId="0" fontId="239" fillId="0" borderId="0"/>
    <xf numFmtId="0" fontId="22" fillId="0" borderId="0"/>
    <xf numFmtId="0" fontId="3" fillId="0" borderId="0"/>
    <xf numFmtId="0" fontId="22" fillId="0" borderId="0"/>
    <xf numFmtId="0" fontId="42" fillId="0" borderId="0"/>
    <xf numFmtId="0" fontId="22" fillId="0" borderId="0"/>
    <xf numFmtId="0" fontId="22" fillId="0" borderId="0"/>
    <xf numFmtId="0" fontId="10" fillId="0" borderId="0"/>
    <xf numFmtId="0" fontId="24" fillId="0" borderId="0"/>
    <xf numFmtId="0" fontId="10" fillId="0" borderId="0"/>
    <xf numFmtId="0" fontId="241" fillId="0" borderId="0"/>
    <xf numFmtId="0" fontId="241" fillId="0" borderId="0"/>
    <xf numFmtId="0" fontId="241" fillId="0" borderId="0"/>
    <xf numFmtId="0" fontId="12" fillId="0" borderId="0"/>
    <xf numFmtId="0" fontId="12" fillId="0" borderId="0"/>
    <xf numFmtId="0" fontId="12" fillId="0" borderId="0"/>
    <xf numFmtId="0" fontId="12" fillId="0" borderId="0"/>
    <xf numFmtId="0" fontId="24" fillId="0" borderId="0"/>
    <xf numFmtId="3" fontId="3" fillId="0" borderId="0">
      <alignment vertical="center" wrapText="1"/>
    </xf>
    <xf numFmtId="0" fontId="25" fillId="0" borderId="0"/>
    <xf numFmtId="0" fontId="154" fillId="0" borderId="0"/>
    <xf numFmtId="0" fontId="1" fillId="0" borderId="0"/>
    <xf numFmtId="0" fontId="22" fillId="0" borderId="0"/>
    <xf numFmtId="0" fontId="3" fillId="0" borderId="0"/>
    <xf numFmtId="0" fontId="22" fillId="0" borderId="0"/>
    <xf numFmtId="0" fontId="24" fillId="0" borderId="0"/>
    <xf numFmtId="0" fontId="110" fillId="30" borderId="0"/>
    <xf numFmtId="0" fontId="127" fillId="0" borderId="0"/>
    <xf numFmtId="0" fontId="12" fillId="23" borderId="20" applyNumberFormat="0" applyFont="0" applyAlignment="0" applyProtection="0"/>
    <xf numFmtId="254" fontId="155" fillId="0" borderId="0" applyFont="0" applyFill="0" applyBorder="0" applyProtection="0">
      <alignment vertical="top" wrapText="1"/>
    </xf>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20" borderId="0" applyNumberFormat="0" applyBorder="0" applyAlignment="0" applyProtection="0"/>
    <xf numFmtId="183" fontId="8" fillId="0" borderId="0" applyFont="0" applyFill="0" applyBorder="0" applyAlignment="0" applyProtection="0"/>
    <xf numFmtId="173" fontId="8"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6" fillId="0" borderId="0" applyNumberFormat="0" applyFill="0" applyBorder="0" applyAlignment="0" applyProtection="0"/>
    <xf numFmtId="0" fontId="24" fillId="0" borderId="0" applyNumberFormat="0" applyFill="0" applyBorder="0" applyAlignment="0" applyProtection="0"/>
    <xf numFmtId="0" fontId="22" fillId="0" borderId="0" applyFont="0" applyFill="0" applyBorder="0" applyAlignment="0" applyProtection="0"/>
    <xf numFmtId="0" fontId="94" fillId="0" borderId="0"/>
    <xf numFmtId="0" fontId="43" fillId="21" borderId="15" applyNumberFormat="0" applyAlignment="0" applyProtection="0"/>
    <xf numFmtId="0" fontId="64" fillId="0" borderId="26" applyNumberFormat="0" applyFill="0" applyAlignment="0" applyProtection="0"/>
    <xf numFmtId="168" fontId="22" fillId="0" borderId="0" applyFont="0" applyFill="0" applyBorder="0" applyAlignment="0" applyProtection="0"/>
    <xf numFmtId="14" fontId="104" fillId="0" borderId="0">
      <alignment horizontal="center" wrapText="1"/>
      <protection locked="0"/>
    </xf>
    <xf numFmtId="217" fontId="22" fillId="0" borderId="0" applyFont="0" applyFill="0" applyBorder="0" applyAlignment="0" applyProtection="0"/>
    <xf numFmtId="255" fontId="22" fillId="0" borderId="0" applyFont="0" applyFill="0" applyBorder="0" applyAlignment="0" applyProtection="0"/>
    <xf numFmtId="10" fontId="18" fillId="0" borderId="0" applyFont="0" applyFill="0" applyBorder="0" applyAlignment="0" applyProtection="0"/>
    <xf numFmtId="10" fontId="22" fillId="0" borderId="0" applyFont="0" applyFill="0" applyBorder="0" applyAlignment="0" applyProtection="0"/>
    <xf numFmtId="10" fontId="2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0"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40"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89" fillId="0" borderId="29" applyNumberFormat="0" applyBorder="0"/>
    <xf numFmtId="0" fontId="22" fillId="0" borderId="0" applyFill="0" applyBorder="0" applyAlignment="0"/>
    <xf numFmtId="215" fontId="110" fillId="0" borderId="0" applyFill="0" applyBorder="0" applyAlignment="0"/>
    <xf numFmtId="185" fontId="110" fillId="0" borderId="0" applyFill="0" applyBorder="0" applyAlignment="0"/>
    <xf numFmtId="218" fontId="110" fillId="0" borderId="0" applyFill="0" applyBorder="0" applyAlignment="0"/>
    <xf numFmtId="215" fontId="110" fillId="0" borderId="0" applyFill="0" applyBorder="0" applyAlignment="0"/>
    <xf numFmtId="0" fontId="157" fillId="0" borderId="0"/>
    <xf numFmtId="0" fontId="89" fillId="0" borderId="0" applyNumberFormat="0" applyFont="0" applyFill="0" applyBorder="0" applyAlignment="0" applyProtection="0">
      <alignment horizontal="left"/>
    </xf>
    <xf numFmtId="0" fontId="158" fillId="0" borderId="23">
      <alignment horizontal="center"/>
    </xf>
    <xf numFmtId="0" fontId="159" fillId="0" borderId="0"/>
    <xf numFmtId="1" fontId="22" fillId="0" borderId="30" applyNumberFormat="0" applyFill="0" applyAlignment="0" applyProtection="0">
      <alignment horizontal="center" vertic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87" fillId="0" borderId="5"/>
    <xf numFmtId="203" fontId="86" fillId="0" borderId="0" applyFont="0" applyFill="0" applyBorder="0" applyAlignment="0" applyProtection="0"/>
    <xf numFmtId="0" fontId="24" fillId="0" borderId="0" applyNumberFormat="0" applyFill="0" applyBorder="0" applyAlignment="0" applyProtection="0"/>
    <xf numFmtId="168" fontId="86" fillId="0" borderId="0" applyFont="0" applyFill="0" applyBorder="0" applyAlignment="0" applyProtection="0"/>
    <xf numFmtId="0" fontId="87" fillId="0" borderId="5" applyNumberFormat="0" applyFont="0" applyBorder="0" applyAlignment="0"/>
    <xf numFmtId="4" fontId="162" fillId="32" borderId="31" applyNumberFormat="0" applyProtection="0">
      <alignment vertical="center"/>
    </xf>
    <xf numFmtId="4" fontId="163" fillId="32" borderId="31" applyNumberFormat="0" applyProtection="0">
      <alignment vertical="center"/>
    </xf>
    <xf numFmtId="4" fontId="164" fillId="32" borderId="31" applyNumberFormat="0" applyProtection="0">
      <alignment horizontal="left" vertical="center" indent="1"/>
    </xf>
    <xf numFmtId="4" fontId="164" fillId="33" borderId="0" applyNumberFormat="0" applyProtection="0">
      <alignment horizontal="left" vertical="center" indent="1"/>
    </xf>
    <xf numFmtId="4" fontId="164" fillId="34" borderId="31" applyNumberFormat="0" applyProtection="0">
      <alignment horizontal="right" vertical="center"/>
    </xf>
    <xf numFmtId="4" fontId="164" fillId="35" borderId="31" applyNumberFormat="0" applyProtection="0">
      <alignment horizontal="right" vertical="center"/>
    </xf>
    <xf numFmtId="4" fontId="164" fillId="36" borderId="31" applyNumberFormat="0" applyProtection="0">
      <alignment horizontal="right" vertical="center"/>
    </xf>
    <xf numFmtId="4" fontId="164" fillId="37" borderId="31" applyNumberFormat="0" applyProtection="0">
      <alignment horizontal="right" vertical="center"/>
    </xf>
    <xf numFmtId="4" fontId="164" fillId="38" borderId="31" applyNumberFormat="0" applyProtection="0">
      <alignment horizontal="right" vertical="center"/>
    </xf>
    <xf numFmtId="4" fontId="164" fillId="39" borderId="31" applyNumberFormat="0" applyProtection="0">
      <alignment horizontal="right" vertical="center"/>
    </xf>
    <xf numFmtId="4" fontId="164" fillId="40" borderId="31" applyNumberFormat="0" applyProtection="0">
      <alignment horizontal="right" vertical="center"/>
    </xf>
    <xf numFmtId="4" fontId="164" fillId="41" borderId="31" applyNumberFormat="0" applyProtection="0">
      <alignment horizontal="right" vertical="center"/>
    </xf>
    <xf numFmtId="4" fontId="164" fillId="42" borderId="31" applyNumberFormat="0" applyProtection="0">
      <alignment horizontal="right" vertical="center"/>
    </xf>
    <xf numFmtId="4" fontId="162" fillId="43" borderId="32" applyNumberFormat="0" applyProtection="0">
      <alignment horizontal="left" vertical="center" indent="1"/>
    </xf>
    <xf numFmtId="4" fontId="162" fillId="44" borderId="0" applyNumberFormat="0" applyProtection="0">
      <alignment horizontal="left" vertical="center" indent="1"/>
    </xf>
    <xf numFmtId="4" fontId="162" fillId="33" borderId="0" applyNumberFormat="0" applyProtection="0">
      <alignment horizontal="left" vertical="center" indent="1"/>
    </xf>
    <xf numFmtId="4" fontId="164" fillId="44" borderId="31" applyNumberFormat="0" applyProtection="0">
      <alignment horizontal="right" vertical="center"/>
    </xf>
    <xf numFmtId="4" fontId="88" fillId="44" borderId="0" applyNumberFormat="0" applyProtection="0">
      <alignment horizontal="left" vertical="center" indent="1"/>
    </xf>
    <xf numFmtId="4" fontId="88" fillId="33" borderId="0" applyNumberFormat="0" applyProtection="0">
      <alignment horizontal="left" vertical="center" indent="1"/>
    </xf>
    <xf numFmtId="4" fontId="164" fillId="45" borderId="31" applyNumberFormat="0" applyProtection="0">
      <alignment vertical="center"/>
    </xf>
    <xf numFmtId="4" fontId="165" fillId="45" borderId="31" applyNumberFormat="0" applyProtection="0">
      <alignment vertical="center"/>
    </xf>
    <xf numFmtId="4" fontId="162" fillId="44" borderId="33" applyNumberFormat="0" applyProtection="0">
      <alignment horizontal="left" vertical="center" indent="1"/>
    </xf>
    <xf numFmtId="4" fontId="164" fillId="45" borderId="31" applyNumberFormat="0" applyProtection="0">
      <alignment horizontal="right" vertical="center"/>
    </xf>
    <xf numFmtId="4" fontId="165" fillId="45" borderId="31" applyNumberFormat="0" applyProtection="0">
      <alignment horizontal="right" vertical="center"/>
    </xf>
    <xf numFmtId="4" fontId="162" fillId="44" borderId="31" applyNumberFormat="0" applyProtection="0">
      <alignment horizontal="left" vertical="center" indent="1"/>
    </xf>
    <xf numFmtId="4" fontId="166" fillId="25" borderId="33" applyNumberFormat="0" applyProtection="0">
      <alignment horizontal="left" vertical="center" indent="1"/>
    </xf>
    <xf numFmtId="4" fontId="167" fillId="45" borderId="31" applyNumberFormat="0" applyProtection="0">
      <alignment horizontal="right" vertical="center"/>
    </xf>
    <xf numFmtId="0" fontId="3" fillId="0" borderId="0">
      <alignment vertical="center"/>
    </xf>
    <xf numFmtId="256" fontId="168" fillId="0" borderId="0" applyFont="0" applyFill="0" applyBorder="0" applyAlignment="0" applyProtection="0"/>
    <xf numFmtId="0" fontId="160" fillId="1" borderId="22" applyNumberFormat="0" applyFont="0" applyAlignment="0">
      <alignment horizontal="center"/>
    </xf>
    <xf numFmtId="0" fontId="169" fillId="0" borderId="0" applyNumberFormat="0" applyFill="0" applyBorder="0" applyAlignment="0" applyProtection="0">
      <alignment vertical="top"/>
      <protection locked="0"/>
    </xf>
    <xf numFmtId="3" fontId="76" fillId="0" borderId="0"/>
    <xf numFmtId="0" fontId="170" fillId="0" borderId="0" applyNumberFormat="0" applyFill="0" applyBorder="0" applyAlignment="0">
      <alignment horizontal="center"/>
    </xf>
    <xf numFmtId="0" fontId="22" fillId="0" borderId="0"/>
    <xf numFmtId="186" fontId="171" fillId="0" borderId="0" applyNumberFormat="0" applyBorder="0" applyAlignment="0">
      <alignment horizontal="centerContinuous"/>
    </xf>
    <xf numFmtId="0" fontId="24" fillId="0" borderId="30">
      <alignment horizontal="center"/>
    </xf>
    <xf numFmtId="0" fontId="87" fillId="0" borderId="0"/>
    <xf numFmtId="2" fontId="22" fillId="0" borderId="0" applyFont="0" applyFill="0" applyBorder="0" applyAlignment="0" applyProtection="0"/>
    <xf numFmtId="0" fontId="32" fillId="0" borderId="22">
      <alignment horizontal="left" vertical="center"/>
    </xf>
    <xf numFmtId="0" fontId="32" fillId="0" borderId="21" applyNumberFormat="0" applyAlignment="0" applyProtection="0">
      <alignment horizontal="left" vertical="center"/>
    </xf>
    <xf numFmtId="0" fontId="32" fillId="0" borderId="0" applyNumberFormat="0" applyFill="0" applyBorder="0" applyAlignment="0" applyProtection="0"/>
    <xf numFmtId="0" fontId="33" fillId="0" borderId="0" applyNumberFormat="0" applyFill="0" applyBorder="0" applyAlignment="0" applyProtection="0"/>
    <xf numFmtId="186" fontId="77" fillId="0" borderId="0" applyFont="0" applyFill="0" applyBorder="0" applyAlignment="0" applyProtection="0"/>
    <xf numFmtId="0" fontId="10" fillId="0" borderId="0"/>
    <xf numFmtId="0" fontId="172" fillId="0" borderId="0"/>
    <xf numFmtId="0" fontId="116" fillId="0" borderId="0"/>
    <xf numFmtId="0" fontId="116" fillId="0" borderId="0"/>
    <xf numFmtId="0" fontId="40" fillId="0" borderId="0" applyNumberFormat="0" applyFont="0" applyFill="0" applyAlignment="0"/>
    <xf numFmtId="204" fontId="86" fillId="0" borderId="0" applyFont="0" applyFill="0" applyBorder="0" applyAlignment="0" applyProtection="0"/>
    <xf numFmtId="195" fontId="86" fillId="0" borderId="0" applyFont="0" applyFill="0" applyBorder="0" applyAlignment="0" applyProtection="0"/>
    <xf numFmtId="0" fontId="22" fillId="0" borderId="34" applyNumberFormat="0" applyFont="0" applyFill="0" applyAlignment="0" applyProtection="0"/>
    <xf numFmtId="257" fontId="116" fillId="0" borderId="0" applyFont="0" applyFill="0" applyBorder="0" applyAlignment="0" applyProtection="0"/>
    <xf numFmtId="0" fontId="116" fillId="0" borderId="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203" fontId="86" fillId="0" borderId="0" applyFont="0" applyFill="0" applyBorder="0" applyAlignment="0" applyProtection="0"/>
    <xf numFmtId="204" fontId="86" fillId="0" borderId="0" applyFont="0" applyFill="0" applyBorder="0" applyAlignment="0" applyProtection="0"/>
    <xf numFmtId="0" fontId="40" fillId="0" borderId="0" applyNumberFormat="0" applyFont="0" applyFill="0" applyAlignment="0"/>
    <xf numFmtId="167" fontId="86" fillId="0" borderId="0" applyFont="0" applyFill="0" applyBorder="0" applyAlignment="0" applyProtection="0"/>
    <xf numFmtId="167" fontId="86" fillId="0" borderId="0" applyFont="0" applyFill="0" applyBorder="0" applyAlignment="0" applyProtection="0"/>
    <xf numFmtId="202" fontId="86" fillId="0" borderId="0" applyFont="0" applyFill="0" applyBorder="0" applyAlignment="0" applyProtection="0"/>
    <xf numFmtId="195" fontId="86" fillId="0" borderId="0" applyFont="0" applyFill="0" applyBorder="0" applyAlignment="0" applyProtection="0"/>
    <xf numFmtId="0" fontId="22" fillId="0" borderId="34" applyNumberFormat="0" applyFont="0" applyFill="0" applyAlignment="0" applyProtection="0"/>
    <xf numFmtId="257" fontId="116" fillId="0" borderId="0" applyFont="0" applyFill="0" applyBorder="0" applyAlignment="0" applyProtection="0"/>
    <xf numFmtId="204" fontId="86"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258" fontId="25" fillId="0" borderId="0" applyFont="0" applyFill="0" applyBorder="0" applyAlignment="0" applyProtection="0"/>
    <xf numFmtId="259" fontId="25" fillId="0" borderId="0" applyFont="0" applyFill="0" applyBorder="0" applyAlignment="0" applyProtection="0"/>
    <xf numFmtId="0" fontId="22" fillId="0" borderId="0" applyFont="0" applyFill="0" applyBorder="0" applyAlignment="0" applyProtection="0"/>
    <xf numFmtId="14" fontId="173" fillId="0" borderId="0"/>
    <xf numFmtId="0" fontId="174" fillId="0" borderId="0"/>
    <xf numFmtId="0" fontId="150" fillId="0" borderId="0"/>
    <xf numFmtId="40" fontId="175" fillId="0" borderId="0" applyBorder="0">
      <alignment horizontal="right"/>
    </xf>
    <xf numFmtId="0" fontId="176" fillId="0" borderId="0"/>
    <xf numFmtId="260" fontId="116" fillId="0" borderId="24">
      <alignment horizontal="right" vertical="center"/>
    </xf>
    <xf numFmtId="260" fontId="116" fillId="0" borderId="24">
      <alignment horizontal="right" vertical="center"/>
    </xf>
    <xf numFmtId="261" fontId="154" fillId="0" borderId="24">
      <alignment horizontal="right" vertical="center"/>
    </xf>
    <xf numFmtId="262" fontId="116" fillId="0" borderId="24">
      <alignment horizontal="right" vertical="center"/>
    </xf>
    <xf numFmtId="261" fontId="154" fillId="0" borderId="24">
      <alignment horizontal="right" vertical="center"/>
    </xf>
    <xf numFmtId="260" fontId="116" fillId="0" borderId="24">
      <alignment horizontal="right" vertical="center"/>
    </xf>
    <xf numFmtId="260" fontId="116" fillId="0" borderId="24">
      <alignment horizontal="right" vertical="center"/>
    </xf>
    <xf numFmtId="263" fontId="154" fillId="0" borderId="24">
      <alignment horizontal="right" vertical="center"/>
    </xf>
    <xf numFmtId="264" fontId="24" fillId="0" borderId="24">
      <alignment horizontal="right" vertical="center"/>
    </xf>
    <xf numFmtId="178" fontId="116" fillId="0" borderId="24">
      <alignment horizontal="right" vertical="center"/>
    </xf>
    <xf numFmtId="260" fontId="116" fillId="0" borderId="24">
      <alignment horizontal="right" vertical="center"/>
    </xf>
    <xf numFmtId="265" fontId="25" fillId="0" borderId="24">
      <alignment horizontal="right" vertical="center"/>
    </xf>
    <xf numFmtId="261" fontId="154" fillId="0" borderId="24">
      <alignment horizontal="right" vertical="center"/>
    </xf>
    <xf numFmtId="265" fontId="25" fillId="0" borderId="24">
      <alignment horizontal="right" vertical="center"/>
    </xf>
    <xf numFmtId="264" fontId="24" fillId="0" borderId="24">
      <alignment horizontal="right" vertical="center"/>
    </xf>
    <xf numFmtId="260" fontId="116" fillId="0" borderId="24">
      <alignment horizontal="right" vertical="center"/>
    </xf>
    <xf numFmtId="177" fontId="24" fillId="0" borderId="24">
      <alignment horizontal="right" vertical="center"/>
    </xf>
    <xf numFmtId="177" fontId="24" fillId="0" borderId="24">
      <alignment horizontal="right" vertical="center"/>
    </xf>
    <xf numFmtId="265" fontId="25" fillId="0" borderId="24">
      <alignment horizontal="right" vertical="center"/>
    </xf>
    <xf numFmtId="263" fontId="154" fillId="0" borderId="24">
      <alignment horizontal="right" vertical="center"/>
    </xf>
    <xf numFmtId="263" fontId="154" fillId="0" borderId="24">
      <alignment horizontal="right" vertical="center"/>
    </xf>
    <xf numFmtId="266" fontId="24" fillId="0" borderId="24">
      <alignment horizontal="right" vertical="center"/>
    </xf>
    <xf numFmtId="261" fontId="154" fillId="0" borderId="24">
      <alignment horizontal="right" vertical="center"/>
    </xf>
    <xf numFmtId="260" fontId="116" fillId="0" borderId="24">
      <alignment horizontal="right"/>
    </xf>
    <xf numFmtId="267" fontId="77" fillId="0" borderId="24">
      <alignment horizontal="right" vertical="center"/>
    </xf>
    <xf numFmtId="268" fontId="154" fillId="0" borderId="24">
      <alignment horizontal="right" vertical="center"/>
    </xf>
    <xf numFmtId="268" fontId="154" fillId="0" borderId="24">
      <alignment horizontal="right" vertical="center"/>
    </xf>
    <xf numFmtId="261" fontId="154" fillId="0" borderId="24">
      <alignment horizontal="right" vertical="center"/>
    </xf>
    <xf numFmtId="269" fontId="177" fillId="2" borderId="35" applyFont="0" applyFill="0" applyBorder="0"/>
    <xf numFmtId="260" fontId="116" fillId="0" borderId="24">
      <alignment horizontal="right" vertical="center"/>
    </xf>
    <xf numFmtId="260" fontId="116" fillId="0" borderId="24">
      <alignment horizontal="right" vertical="center"/>
    </xf>
    <xf numFmtId="262" fontId="116" fillId="0" borderId="24">
      <alignment horizontal="right" vertical="center"/>
    </xf>
    <xf numFmtId="270" fontId="116" fillId="0" borderId="24">
      <alignment horizontal="right" vertical="center"/>
    </xf>
    <xf numFmtId="264" fontId="24" fillId="0" borderId="24">
      <alignment horizontal="right" vertical="center"/>
    </xf>
    <xf numFmtId="261" fontId="154" fillId="0" borderId="24">
      <alignment horizontal="right" vertical="center"/>
    </xf>
    <xf numFmtId="270" fontId="116" fillId="0" borderId="24">
      <alignment horizontal="right" vertical="center"/>
    </xf>
    <xf numFmtId="264" fontId="24" fillId="0" borderId="24">
      <alignment horizontal="right" vertical="center"/>
    </xf>
    <xf numFmtId="261" fontId="154" fillId="0" borderId="24">
      <alignment horizontal="right" vertical="center"/>
    </xf>
    <xf numFmtId="261" fontId="154" fillId="0" borderId="24">
      <alignment horizontal="right" vertical="center"/>
    </xf>
    <xf numFmtId="263" fontId="154" fillId="0" borderId="24">
      <alignment horizontal="right" vertical="center"/>
    </xf>
    <xf numFmtId="260" fontId="116" fillId="0" borderId="24">
      <alignment horizontal="right" vertical="center"/>
    </xf>
    <xf numFmtId="261" fontId="154" fillId="0" borderId="24">
      <alignment horizontal="right" vertical="center"/>
    </xf>
    <xf numFmtId="263" fontId="154" fillId="0" borderId="24">
      <alignment horizontal="right" vertical="center"/>
    </xf>
    <xf numFmtId="263" fontId="154" fillId="0" borderId="24">
      <alignment horizontal="right" vertical="center"/>
    </xf>
    <xf numFmtId="264" fontId="24" fillId="0" borderId="24">
      <alignment horizontal="right" vertical="center"/>
    </xf>
    <xf numFmtId="269" fontId="177" fillId="2" borderId="35" applyFont="0" applyFill="0" applyBorder="0"/>
    <xf numFmtId="264" fontId="24" fillId="0" borderId="24">
      <alignment horizontal="right" vertical="center"/>
    </xf>
    <xf numFmtId="264" fontId="24" fillId="0" borderId="24">
      <alignment horizontal="right" vertical="center"/>
    </xf>
    <xf numFmtId="261" fontId="154" fillId="0" borderId="24">
      <alignment horizontal="right" vertical="center"/>
    </xf>
    <xf numFmtId="261" fontId="154" fillId="0" borderId="24">
      <alignment horizontal="right" vertical="center"/>
    </xf>
    <xf numFmtId="261" fontId="154" fillId="0" borderId="24">
      <alignment horizontal="right" vertical="center"/>
    </xf>
    <xf numFmtId="260" fontId="116" fillId="0" borderId="24">
      <alignment horizontal="right" vertical="center"/>
    </xf>
    <xf numFmtId="271" fontId="24" fillId="0" borderId="24">
      <alignment horizontal="right" vertical="center"/>
    </xf>
    <xf numFmtId="271" fontId="24" fillId="0" borderId="24">
      <alignment horizontal="right" vertical="center"/>
    </xf>
    <xf numFmtId="261" fontId="154" fillId="0" borderId="24">
      <alignment horizontal="right" vertical="center"/>
    </xf>
    <xf numFmtId="264" fontId="24" fillId="0" borderId="24">
      <alignment horizontal="right" vertical="center"/>
    </xf>
    <xf numFmtId="263" fontId="154" fillId="0" borderId="24">
      <alignment horizontal="right" vertical="center"/>
    </xf>
    <xf numFmtId="260" fontId="116" fillId="0" borderId="24">
      <alignment horizontal="right" vertical="center"/>
    </xf>
    <xf numFmtId="264" fontId="24" fillId="0" borderId="24">
      <alignment horizontal="right" vertical="center"/>
    </xf>
    <xf numFmtId="263" fontId="154" fillId="0" borderId="24">
      <alignment horizontal="right" vertical="center"/>
    </xf>
    <xf numFmtId="264" fontId="24" fillId="0" borderId="24">
      <alignment horizontal="right" vertical="center"/>
    </xf>
    <xf numFmtId="263" fontId="154" fillId="0" borderId="24">
      <alignment horizontal="right" vertical="center"/>
    </xf>
    <xf numFmtId="272" fontId="154" fillId="0" borderId="24">
      <alignment horizontal="right" vertical="center"/>
    </xf>
    <xf numFmtId="272" fontId="154" fillId="0" borderId="24">
      <alignment horizontal="right" vertical="center"/>
    </xf>
    <xf numFmtId="261" fontId="154" fillId="0" borderId="24">
      <alignment horizontal="right" vertical="center"/>
    </xf>
    <xf numFmtId="260" fontId="116" fillId="0" borderId="24">
      <alignment horizontal="right" vertical="center"/>
    </xf>
    <xf numFmtId="264" fontId="24" fillId="0" borderId="24">
      <alignment horizontal="right" vertical="center"/>
    </xf>
    <xf numFmtId="260" fontId="116" fillId="0" borderId="24">
      <alignment horizontal="right" vertical="center"/>
    </xf>
    <xf numFmtId="260" fontId="116" fillId="0" borderId="24">
      <alignment horizontal="right" vertical="center"/>
    </xf>
    <xf numFmtId="273" fontId="24" fillId="0" borderId="24">
      <alignment horizontal="right" vertical="center"/>
    </xf>
    <xf numFmtId="273" fontId="24" fillId="0" borderId="24">
      <alignment horizontal="right" vertical="center"/>
    </xf>
    <xf numFmtId="260" fontId="116" fillId="0" borderId="24">
      <alignment horizontal="right" vertical="center"/>
    </xf>
    <xf numFmtId="260" fontId="116" fillId="0" borderId="24">
      <alignment horizontal="right" vertical="center"/>
    </xf>
    <xf numFmtId="260" fontId="116" fillId="0" borderId="24">
      <alignment horizontal="right" vertical="center"/>
    </xf>
    <xf numFmtId="260" fontId="116" fillId="0" borderId="24">
      <alignment horizontal="right" vertical="center"/>
    </xf>
    <xf numFmtId="263" fontId="154" fillId="0" borderId="24">
      <alignment horizontal="right" vertical="center"/>
    </xf>
    <xf numFmtId="260" fontId="116" fillId="0" borderId="24">
      <alignment horizontal="right" vertical="center"/>
    </xf>
    <xf numFmtId="261" fontId="154" fillId="0" borderId="24">
      <alignment horizontal="right" vertical="center"/>
    </xf>
    <xf numFmtId="260" fontId="116" fillId="0" borderId="24">
      <alignment horizontal="right" vertical="center"/>
    </xf>
    <xf numFmtId="272" fontId="154" fillId="0" borderId="24">
      <alignment horizontal="right" vertical="center"/>
    </xf>
    <xf numFmtId="260" fontId="116" fillId="0" borderId="24">
      <alignment horizontal="right" vertical="center"/>
    </xf>
    <xf numFmtId="260" fontId="116" fillId="0" borderId="24">
      <alignment horizontal="right" vertical="center"/>
    </xf>
    <xf numFmtId="260" fontId="116" fillId="0" borderId="24">
      <alignment horizontal="right" vertical="center"/>
    </xf>
    <xf numFmtId="260" fontId="116" fillId="0" borderId="24">
      <alignment horizontal="right" vertical="center"/>
    </xf>
    <xf numFmtId="272" fontId="154" fillId="0" borderId="24">
      <alignment horizontal="right" vertical="center"/>
    </xf>
    <xf numFmtId="261" fontId="154" fillId="0" borderId="24">
      <alignment horizontal="right" vertical="center"/>
    </xf>
    <xf numFmtId="264" fontId="24" fillId="0" borderId="24">
      <alignment horizontal="right" vertical="center"/>
    </xf>
    <xf numFmtId="272" fontId="154" fillId="0" borderId="24">
      <alignment horizontal="right" vertical="center"/>
    </xf>
    <xf numFmtId="261" fontId="154" fillId="0" borderId="24">
      <alignment horizontal="right" vertical="center"/>
    </xf>
    <xf numFmtId="261" fontId="154" fillId="0" borderId="24">
      <alignment horizontal="right" vertical="center"/>
    </xf>
    <xf numFmtId="262" fontId="116" fillId="0" borderId="24">
      <alignment horizontal="right" vertical="center"/>
    </xf>
    <xf numFmtId="260" fontId="116" fillId="0" borderId="24">
      <alignment horizontal="right" vertical="center"/>
    </xf>
    <xf numFmtId="260" fontId="116" fillId="0" borderId="24">
      <alignment horizontal="right"/>
    </xf>
    <xf numFmtId="264" fontId="24" fillId="0" borderId="24">
      <alignment horizontal="right" vertical="center"/>
    </xf>
    <xf numFmtId="271" fontId="24" fillId="0" borderId="24">
      <alignment horizontal="right" vertical="center"/>
    </xf>
    <xf numFmtId="260" fontId="116" fillId="0" borderId="24">
      <alignment horizontal="right" vertical="center"/>
    </xf>
    <xf numFmtId="274" fontId="86" fillId="0" borderId="24">
      <alignment horizontal="right" vertical="center"/>
    </xf>
    <xf numFmtId="265" fontId="25" fillId="0" borderId="24">
      <alignment horizontal="right" vertical="center"/>
    </xf>
    <xf numFmtId="260" fontId="116" fillId="0" borderId="24">
      <alignment horizontal="right" vertical="center"/>
    </xf>
    <xf numFmtId="274" fontId="86" fillId="0" borderId="24">
      <alignment horizontal="right" vertical="center"/>
    </xf>
    <xf numFmtId="272" fontId="154" fillId="0" borderId="24">
      <alignment horizontal="right" vertical="center"/>
    </xf>
    <xf numFmtId="272" fontId="154" fillId="0" borderId="24">
      <alignment horizontal="right" vertical="center"/>
    </xf>
    <xf numFmtId="260" fontId="116" fillId="0" borderId="24">
      <alignment horizontal="right" vertical="center"/>
    </xf>
    <xf numFmtId="260" fontId="116" fillId="0" borderId="24">
      <alignment horizontal="right"/>
    </xf>
    <xf numFmtId="265" fontId="25" fillId="0" borderId="24">
      <alignment horizontal="right" vertical="center"/>
    </xf>
    <xf numFmtId="260" fontId="116" fillId="0" borderId="24">
      <alignment horizontal="right" vertical="center"/>
    </xf>
    <xf numFmtId="260" fontId="116" fillId="0" borderId="24">
      <alignment horizontal="right" vertical="center"/>
    </xf>
    <xf numFmtId="260" fontId="116" fillId="0" borderId="24">
      <alignment horizontal="right" vertical="center"/>
    </xf>
    <xf numFmtId="260" fontId="116" fillId="0" borderId="24">
      <alignment horizontal="right" vertical="center"/>
    </xf>
    <xf numFmtId="261" fontId="154" fillId="0" borderId="24">
      <alignment horizontal="right" vertical="center"/>
    </xf>
    <xf numFmtId="260" fontId="116" fillId="0" borderId="24">
      <alignment horizontal="right" vertical="center"/>
    </xf>
    <xf numFmtId="260" fontId="116" fillId="0" borderId="24">
      <alignment horizontal="right" vertical="center"/>
    </xf>
    <xf numFmtId="265" fontId="25" fillId="0" borderId="24">
      <alignment horizontal="right" vertical="center"/>
    </xf>
    <xf numFmtId="264" fontId="24" fillId="0" borderId="24">
      <alignment horizontal="right" vertical="center"/>
    </xf>
    <xf numFmtId="260" fontId="116" fillId="0" borderId="24">
      <alignment horizontal="right" vertical="center"/>
    </xf>
    <xf numFmtId="261" fontId="154" fillId="0" borderId="24">
      <alignment horizontal="right" vertical="center"/>
    </xf>
    <xf numFmtId="265" fontId="25" fillId="0" borderId="24">
      <alignment horizontal="right" vertical="center"/>
    </xf>
    <xf numFmtId="265" fontId="25" fillId="0" borderId="24">
      <alignment horizontal="right" vertical="center"/>
    </xf>
    <xf numFmtId="261" fontId="154" fillId="0" borderId="24">
      <alignment horizontal="right" vertical="center"/>
    </xf>
    <xf numFmtId="260" fontId="116" fillId="0" borderId="24">
      <alignment horizontal="right" vertical="center"/>
    </xf>
    <xf numFmtId="264" fontId="24" fillId="0" borderId="24">
      <alignment horizontal="right" vertical="center"/>
    </xf>
    <xf numFmtId="274" fontId="86" fillId="0" borderId="24">
      <alignment horizontal="right" vertical="center"/>
    </xf>
    <xf numFmtId="274" fontId="86" fillId="0" borderId="24">
      <alignment horizontal="right" vertical="center"/>
    </xf>
    <xf numFmtId="264" fontId="24" fillId="0" borderId="24">
      <alignment horizontal="right" vertical="center"/>
    </xf>
    <xf numFmtId="275" fontId="24" fillId="0" borderId="24">
      <alignment horizontal="right" vertical="center"/>
    </xf>
    <xf numFmtId="260" fontId="116" fillId="0" borderId="24">
      <alignment horizontal="right" vertical="center"/>
    </xf>
    <xf numFmtId="219" fontId="122" fillId="0" borderId="2">
      <protection hidden="1"/>
    </xf>
    <xf numFmtId="49" fontId="88" fillId="0" borderId="0" applyFill="0" applyBorder="0" applyAlignment="0"/>
    <xf numFmtId="0" fontId="22" fillId="0" borderId="0" applyFill="0" applyBorder="0" applyAlignment="0"/>
    <xf numFmtId="177" fontId="22" fillId="0" borderId="0" applyFill="0" applyBorder="0" applyAlignment="0"/>
    <xf numFmtId="49" fontId="178" fillId="0" borderId="0">
      <alignment horizontal="justify" vertical="center" wrapText="1"/>
    </xf>
    <xf numFmtId="276" fontId="179" fillId="0" borderId="9">
      <alignment horizontal="right"/>
    </xf>
    <xf numFmtId="0" fontId="180" fillId="0" borderId="5">
      <alignment horizontal="center" vertical="center" wrapText="1"/>
    </xf>
    <xf numFmtId="0" fontId="181" fillId="0" borderId="0">
      <alignment horizontal="center"/>
    </xf>
    <xf numFmtId="0" fontId="44" fillId="0" borderId="0" applyNumberFormat="0" applyFill="0" applyBorder="0" applyAlignment="0" applyProtection="0"/>
    <xf numFmtId="40" fontId="75" fillId="0" borderId="0"/>
    <xf numFmtId="0" fontId="65" fillId="21" borderId="8" applyNumberFormat="0" applyAlignment="0" applyProtection="0"/>
    <xf numFmtId="0" fontId="182" fillId="0" borderId="5"/>
    <xf numFmtId="3" fontId="183" fillId="0" borderId="0" applyNumberFormat="0" applyFill="0" applyBorder="0" applyAlignment="0" applyProtection="0">
      <alignment horizontal="center" wrapText="1"/>
    </xf>
    <xf numFmtId="0" fontId="184" fillId="0" borderId="9" applyBorder="0" applyAlignment="0">
      <alignment horizontal="center" vertical="center"/>
    </xf>
    <xf numFmtId="0" fontId="185" fillId="0" borderId="0" applyNumberFormat="0" applyFill="0" applyBorder="0" applyAlignment="0" applyProtection="0">
      <alignment horizontal="centerContinuous"/>
    </xf>
    <xf numFmtId="0" fontId="138" fillId="0" borderId="36" applyNumberFormat="0" applyFill="0" applyBorder="0" applyAlignment="0" applyProtection="0">
      <alignment horizontal="center" vertical="center" wrapText="1"/>
    </xf>
    <xf numFmtId="0" fontId="44" fillId="0" borderId="0" applyNumberFormat="0" applyFill="0" applyBorder="0" applyAlignment="0" applyProtection="0"/>
    <xf numFmtId="0" fontId="186" fillId="0" borderId="37" applyNumberFormat="0" applyBorder="0" applyAlignment="0">
      <alignment vertical="center"/>
    </xf>
    <xf numFmtId="0" fontId="22" fillId="0" borderId="34" applyNumberFormat="0" applyFont="0" applyFill="0" applyAlignment="0" applyProtection="0"/>
    <xf numFmtId="0" fontId="45" fillId="0" borderId="38" applyNumberFormat="0" applyFill="0" applyAlignment="0" applyProtection="0"/>
    <xf numFmtId="0" fontId="66" fillId="0" borderId="38" applyNumberFormat="0" applyFill="0" applyAlignment="0" applyProtection="0"/>
    <xf numFmtId="0" fontId="67" fillId="5" borderId="0" applyNumberFormat="0" applyBorder="0" applyAlignment="0" applyProtection="0"/>
    <xf numFmtId="173" fontId="22" fillId="0" borderId="0" applyFont="0" applyFill="0" applyBorder="0" applyAlignment="0" applyProtection="0"/>
    <xf numFmtId="277" fontId="22" fillId="0" borderId="0" applyFont="0" applyFill="0" applyBorder="0" applyAlignment="0" applyProtection="0"/>
    <xf numFmtId="201" fontId="116" fillId="0" borderId="24">
      <alignment horizontal="center"/>
    </xf>
    <xf numFmtId="278" fontId="187" fillId="0" borderId="0" applyNumberFormat="0" applyFont="0" applyFill="0" applyBorder="0" applyAlignment="0">
      <alignment horizontal="centerContinuous"/>
    </xf>
    <xf numFmtId="0" fontId="91" fillId="0" borderId="0">
      <alignment vertical="center" wrapText="1"/>
      <protection locked="0"/>
    </xf>
    <xf numFmtId="0" fontId="116" fillId="0" borderId="0" applyNumberFormat="0" applyFill="0" applyBorder="0" applyAlignment="0" applyProtection="0"/>
    <xf numFmtId="0" fontId="24" fillId="0" borderId="39"/>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77" fillId="0" borderId="5" applyNumberFormat="0" applyBorder="0" applyAlignment="0"/>
    <xf numFmtId="0" fontId="188" fillId="0" borderId="28" applyNumberFormat="0" applyBorder="0" applyAlignment="0">
      <alignment horizontal="center"/>
    </xf>
    <xf numFmtId="3" fontId="189" fillId="0" borderId="7" applyNumberFormat="0" applyBorder="0" applyAlignment="0"/>
    <xf numFmtId="0" fontId="68" fillId="29" borderId="0" applyNumberFormat="0" applyBorder="0" applyAlignment="0" applyProtection="0"/>
    <xf numFmtId="279" fontId="146" fillId="0" borderId="0" applyFont="0" applyFill="0" applyBorder="0" applyAlignment="0" applyProtection="0"/>
    <xf numFmtId="280" fontId="190" fillId="0" borderId="0" applyFont="0" applyFill="0" applyBorder="0" applyAlignment="0" applyProtection="0"/>
    <xf numFmtId="281" fontId="77" fillId="0" borderId="0" applyFont="0" applyFill="0" applyBorder="0" applyAlignment="0" applyProtection="0"/>
    <xf numFmtId="0" fontId="32" fillId="0" borderId="27">
      <alignment horizontal="center"/>
    </xf>
    <xf numFmtId="0" fontId="69" fillId="0" borderId="0" applyNumberFormat="0" applyFill="0" applyBorder="0" applyAlignment="0" applyProtection="0"/>
    <xf numFmtId="0" fontId="70" fillId="0" borderId="0" applyNumberFormat="0" applyFill="0" applyBorder="0" applyAlignment="0" applyProtection="0"/>
    <xf numFmtId="177" fontId="116" fillId="0" borderId="0"/>
    <xf numFmtId="178" fontId="116" fillId="0" borderId="1"/>
    <xf numFmtId="0" fontId="191" fillId="0" borderId="0"/>
    <xf numFmtId="0" fontId="192" fillId="0" borderId="0"/>
    <xf numFmtId="3" fontId="116" fillId="0" borderId="0" applyNumberFormat="0" applyBorder="0" applyAlignment="0" applyProtection="0">
      <alignment horizontal="centerContinuous"/>
      <protection locked="0"/>
    </xf>
    <xf numFmtId="3" fontId="193" fillId="0" borderId="0">
      <protection locked="0"/>
    </xf>
    <xf numFmtId="0" fontId="192" fillId="0" borderId="0"/>
    <xf numFmtId="0" fontId="194" fillId="0" borderId="40" applyFill="0" applyBorder="0" applyAlignment="0">
      <alignment horizontal="center"/>
    </xf>
    <xf numFmtId="245" fontId="195" fillId="46" borderId="9">
      <alignment vertical="top"/>
    </xf>
    <xf numFmtId="164" fontId="25" fillId="0" borderId="30">
      <alignment horizontal="left" vertical="top"/>
    </xf>
    <xf numFmtId="0" fontId="196" fillId="0" borderId="30">
      <alignment horizontal="left" vertical="center"/>
    </xf>
    <xf numFmtId="0" fontId="178" fillId="47" borderId="1">
      <alignment horizontal="left" vertical="center"/>
    </xf>
    <xf numFmtId="207" fontId="197" fillId="48" borderId="9"/>
    <xf numFmtId="164" fontId="144" fillId="0" borderId="9">
      <alignment horizontal="left" vertical="top"/>
    </xf>
    <xf numFmtId="0" fontId="198" fillId="49" borderId="0">
      <alignment horizontal="left" vertical="center"/>
    </xf>
    <xf numFmtId="167" fontId="126" fillId="0" borderId="0" applyFont="0" applyFill="0" applyBorder="0" applyAlignment="0" applyProtection="0"/>
    <xf numFmtId="282" fontId="22" fillId="0" borderId="0" applyFont="0" applyFill="0" applyBorder="0" applyAlignment="0" applyProtection="0"/>
    <xf numFmtId="195" fontId="127" fillId="0" borderId="0" applyFont="0" applyFill="0" applyBorder="0" applyAlignment="0" applyProtection="0"/>
    <xf numFmtId="283" fontId="127" fillId="0" borderId="0" applyFont="0" applyFill="0" applyBorder="0" applyAlignment="0" applyProtection="0"/>
    <xf numFmtId="0" fontId="46" fillId="0" borderId="0" applyNumberFormat="0" applyFill="0" applyBorder="0" applyAlignment="0" applyProtection="0"/>
    <xf numFmtId="170" fontId="154" fillId="0" borderId="0" applyFont="0" applyFill="0" applyBorder="0" applyAlignment="0" applyProtection="0"/>
    <xf numFmtId="0" fontId="3" fillId="0" borderId="5">
      <alignment horizontal="center" vertical="center"/>
    </xf>
    <xf numFmtId="0" fontId="199" fillId="0" borderId="41" applyNumberFormat="0" applyFont="0" applyAlignment="0">
      <alignment horizontal="center"/>
    </xf>
    <xf numFmtId="0" fontId="71" fillId="4" borderId="0" applyNumberFormat="0" applyBorder="0" applyAlignment="0" applyProtection="0"/>
    <xf numFmtId="0" fontId="47" fillId="0" borderId="0" applyNumberFormat="0" applyFill="0" applyBorder="0" applyAlignment="0" applyProtection="0"/>
    <xf numFmtId="173" fontId="2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0" fontId="200" fillId="0" borderId="4"/>
    <xf numFmtId="192" fontId="78"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93" fillId="0" borderId="0" applyFont="0" applyFill="0" applyBorder="0" applyAlignment="0" applyProtection="0"/>
    <xf numFmtId="0" fontId="93" fillId="0" borderId="0" applyFont="0" applyFill="0" applyBorder="0" applyAlignment="0" applyProtection="0"/>
    <xf numFmtId="205" fontId="93" fillId="0" borderId="0" applyFont="0" applyFill="0" applyBorder="0" applyAlignment="0" applyProtection="0"/>
    <xf numFmtId="213" fontId="93" fillId="0" borderId="0" applyFont="0" applyFill="0" applyBorder="0" applyAlignment="0" applyProtection="0"/>
    <xf numFmtId="0" fontId="93" fillId="0" borderId="0"/>
    <xf numFmtId="0" fontId="93" fillId="0" borderId="0"/>
    <xf numFmtId="0" fontId="40" fillId="0" borderId="0"/>
    <xf numFmtId="173" fontId="52" fillId="0" borderId="0" applyFont="0" applyFill="0" applyBorder="0" applyAlignment="0" applyProtection="0"/>
    <xf numFmtId="183" fontId="52" fillId="0" borderId="0" applyFont="0" applyFill="0" applyBorder="0" applyAlignment="0" applyProtection="0"/>
    <xf numFmtId="170" fontId="25" fillId="0" borderId="0" applyFont="0" applyFill="0" applyBorder="0" applyAlignment="0" applyProtection="0"/>
    <xf numFmtId="168" fontId="22" fillId="0" borderId="0" applyFont="0" applyFill="0" applyBorder="0" applyAlignment="0" applyProtection="0"/>
    <xf numFmtId="0" fontId="22" fillId="0" borderId="0"/>
    <xf numFmtId="184" fontId="52" fillId="0" borderId="0" applyFont="0" applyFill="0" applyBorder="0" applyAlignment="0" applyProtection="0"/>
    <xf numFmtId="165" fontId="7" fillId="0" borderId="0" applyFont="0" applyFill="0" applyBorder="0" applyAlignment="0" applyProtection="0"/>
    <xf numFmtId="185" fontId="52" fillId="0" borderId="0" applyFont="0" applyFill="0" applyBorder="0" applyAlignment="0" applyProtection="0"/>
    <xf numFmtId="0" fontId="201" fillId="0" borderId="0" applyNumberFormat="0" applyFill="0" applyBorder="0" applyAlignment="0" applyProtection="0">
      <alignment vertical="top"/>
      <protection locked="0"/>
    </xf>
    <xf numFmtId="169" fontId="22" fillId="0" borderId="0" applyFont="0" applyFill="0" applyBorder="0" applyAlignment="0" applyProtection="0"/>
    <xf numFmtId="167" fontId="22" fillId="0" borderId="0" applyFont="0" applyFill="0" applyBorder="0" applyAlignment="0" applyProtection="0"/>
    <xf numFmtId="0" fontId="202" fillId="0" borderId="0" applyNumberFormat="0" applyFill="0" applyBorder="0" applyAlignment="0" applyProtection="0">
      <alignment vertical="top"/>
      <protection locked="0"/>
    </xf>
  </cellStyleXfs>
  <cellXfs count="604">
    <xf numFmtId="0" fontId="0" fillId="0" borderId="0" xfId="0"/>
    <xf numFmtId="0" fontId="207" fillId="50" borderId="0" xfId="1482" applyFont="1" applyFill="1" applyAlignment="1">
      <alignment horizontal="center"/>
    </xf>
    <xf numFmtId="0" fontId="207" fillId="50" borderId="0" xfId="1482" applyFont="1" applyFill="1" applyAlignment="1">
      <alignment horizontal="left" vertical="center" wrapText="1"/>
    </xf>
    <xf numFmtId="3" fontId="207" fillId="50" borderId="0" xfId="1482" applyNumberFormat="1" applyFont="1" applyFill="1"/>
    <xf numFmtId="188" fontId="207" fillId="50" borderId="0" xfId="1482" applyNumberFormat="1" applyFont="1" applyFill="1"/>
    <xf numFmtId="0" fontId="207" fillId="50" borderId="0" xfId="1482" applyFont="1" applyFill="1"/>
    <xf numFmtId="3" fontId="104" fillId="50" borderId="0" xfId="1546" applyFont="1" applyFill="1">
      <alignment vertical="center" wrapText="1"/>
    </xf>
    <xf numFmtId="3" fontId="207" fillId="50" borderId="0" xfId="1482" applyNumberFormat="1" applyFont="1" applyFill="1" applyAlignment="1">
      <alignment horizontal="left" vertical="center" wrapText="1"/>
    </xf>
    <xf numFmtId="3" fontId="104" fillId="50" borderId="1" xfId="1546" applyNumberFormat="1" applyFont="1" applyFill="1" applyBorder="1" applyAlignment="1">
      <alignment horizontal="center" vertical="center" wrapText="1"/>
    </xf>
    <xf numFmtId="188" fontId="104" fillId="50" borderId="1" xfId="1546" applyNumberFormat="1" applyFont="1" applyFill="1" applyBorder="1" applyAlignment="1">
      <alignment horizontal="center" vertical="center" wrapText="1"/>
    </xf>
    <xf numFmtId="0" fontId="245" fillId="50" borderId="0" xfId="1482" applyFont="1" applyFill="1" applyAlignment="1">
      <alignment horizontal="center"/>
    </xf>
    <xf numFmtId="0" fontId="245" fillId="50" borderId="0" xfId="1482" applyFont="1" applyFill="1"/>
    <xf numFmtId="0" fontId="246" fillId="50" borderId="0" xfId="1482" applyFont="1" applyFill="1"/>
    <xf numFmtId="0" fontId="207" fillId="50" borderId="5" xfId="1482" applyFont="1" applyFill="1" applyBorder="1" applyAlignment="1">
      <alignment horizontal="center" vertical="center"/>
    </xf>
    <xf numFmtId="0" fontId="207" fillId="50" borderId="5" xfId="1482" applyFont="1" applyFill="1" applyBorder="1" applyAlignment="1">
      <alignment horizontal="left" vertical="center" wrapText="1"/>
    </xf>
    <xf numFmtId="3" fontId="245" fillId="50" borderId="5" xfId="1482" applyNumberFormat="1" applyFont="1" applyFill="1" applyBorder="1" applyAlignment="1">
      <alignment vertical="center"/>
    </xf>
    <xf numFmtId="9" fontId="245" fillId="50" borderId="5" xfId="1482" applyNumberFormat="1" applyFont="1" applyFill="1" applyBorder="1" applyAlignment="1">
      <alignment vertical="center"/>
    </xf>
    <xf numFmtId="0" fontId="207" fillId="50" borderId="42" xfId="1482" applyFont="1" applyFill="1" applyBorder="1" applyAlignment="1">
      <alignment horizontal="center" vertical="center"/>
    </xf>
    <xf numFmtId="0" fontId="207" fillId="50" borderId="42" xfId="1482" applyFont="1" applyFill="1" applyBorder="1" applyAlignment="1">
      <alignment horizontal="left" vertical="center" wrapText="1"/>
    </xf>
    <xf numFmtId="3" fontId="245" fillId="50" borderId="42" xfId="1482" applyNumberFormat="1" applyFont="1" applyFill="1" applyBorder="1" applyAlignment="1">
      <alignment vertical="center"/>
    </xf>
    <xf numFmtId="9" fontId="245" fillId="50" borderId="42" xfId="1482" applyNumberFormat="1" applyFont="1" applyFill="1" applyBorder="1" applyAlignment="1">
      <alignment vertical="center"/>
    </xf>
    <xf numFmtId="3" fontId="245" fillId="50" borderId="0" xfId="1482" applyNumberFormat="1" applyFont="1" applyFill="1"/>
    <xf numFmtId="188" fontId="245" fillId="50" borderId="0" xfId="1482" applyNumberFormat="1" applyFont="1" applyFill="1"/>
    <xf numFmtId="0" fontId="207" fillId="50" borderId="7" xfId="1482" applyFont="1" applyFill="1" applyBorder="1" applyAlignment="1">
      <alignment horizontal="center" vertical="center"/>
    </xf>
    <xf numFmtId="0" fontId="207" fillId="50" borderId="7" xfId="1482" applyFont="1" applyFill="1" applyBorder="1" applyAlignment="1">
      <alignment horizontal="left" vertical="center" wrapText="1"/>
    </xf>
    <xf numFmtId="3" fontId="245" fillId="50" borderId="7" xfId="1482" applyNumberFormat="1" applyFont="1" applyFill="1" applyBorder="1" applyAlignment="1">
      <alignment vertical="center"/>
    </xf>
    <xf numFmtId="9" fontId="245" fillId="50" borderId="7" xfId="1482" applyNumberFormat="1" applyFont="1" applyFill="1" applyBorder="1" applyAlignment="1">
      <alignment vertical="center"/>
    </xf>
    <xf numFmtId="0" fontId="245" fillId="50" borderId="1" xfId="1482" applyFont="1" applyFill="1" applyBorder="1" applyAlignment="1">
      <alignment horizontal="center"/>
    </xf>
    <xf numFmtId="0" fontId="245" fillId="50" borderId="1" xfId="1482" applyFont="1" applyFill="1" applyBorder="1"/>
    <xf numFmtId="3" fontId="245" fillId="50" borderId="1" xfId="1482" applyNumberFormat="1" applyFont="1" applyFill="1" applyBorder="1"/>
    <xf numFmtId="188" fontId="245" fillId="50" borderId="1" xfId="1482" applyNumberFormat="1" applyFont="1" applyFill="1" applyBorder="1"/>
    <xf numFmtId="0" fontId="246" fillId="50" borderId="1" xfId="1482" applyFont="1" applyFill="1" applyBorder="1" applyAlignment="1">
      <alignment horizontal="center" vertical="center"/>
    </xf>
    <xf numFmtId="0" fontId="246" fillId="50" borderId="1" xfId="1482" applyFont="1" applyFill="1" applyBorder="1" applyAlignment="1">
      <alignment vertical="center"/>
    </xf>
    <xf numFmtId="3" fontId="246" fillId="50" borderId="1" xfId="1482" applyNumberFormat="1" applyFont="1" applyFill="1" applyBorder="1" applyAlignment="1">
      <alignment vertical="center"/>
    </xf>
    <xf numFmtId="9" fontId="246" fillId="50" borderId="1" xfId="1482" applyNumberFormat="1" applyFont="1" applyFill="1" applyBorder="1" applyAlignment="1">
      <alignment vertical="center"/>
    </xf>
    <xf numFmtId="0" fontId="207" fillId="50" borderId="1" xfId="1482" applyFont="1" applyFill="1" applyBorder="1" applyAlignment="1">
      <alignment horizontal="center" vertical="center"/>
    </xf>
    <xf numFmtId="0" fontId="207" fillId="50" borderId="1" xfId="1482" applyFont="1" applyFill="1" applyBorder="1" applyAlignment="1">
      <alignment horizontal="left" vertical="center" wrapText="1"/>
    </xf>
    <xf numFmtId="3" fontId="245" fillId="50" borderId="1" xfId="1482" applyNumberFormat="1" applyFont="1" applyFill="1" applyBorder="1" applyAlignment="1">
      <alignment vertical="center"/>
    </xf>
    <xf numFmtId="9" fontId="245" fillId="50" borderId="1" xfId="1482" applyNumberFormat="1" applyFont="1" applyFill="1" applyBorder="1" applyAlignment="1">
      <alignment vertical="center"/>
    </xf>
    <xf numFmtId="0" fontId="247" fillId="0" borderId="0" xfId="1509" applyFont="1" applyAlignment="1">
      <alignment vertical="center" wrapText="1"/>
    </xf>
    <xf numFmtId="0" fontId="248" fillId="50" borderId="13" xfId="1550" applyFont="1" applyFill="1" applyBorder="1" applyAlignment="1">
      <alignment vertical="center" wrapText="1"/>
    </xf>
    <xf numFmtId="0" fontId="248" fillId="50" borderId="1" xfId="1550" applyFont="1" applyFill="1" applyBorder="1" applyAlignment="1">
      <alignment vertical="center" wrapText="1"/>
    </xf>
    <xf numFmtId="0" fontId="248" fillId="50" borderId="43" xfId="1550" applyFont="1" applyFill="1" applyBorder="1" applyAlignment="1">
      <alignment vertical="center" wrapText="1"/>
    </xf>
    <xf numFmtId="2" fontId="248" fillId="50" borderId="1" xfId="1509" applyNumberFormat="1" applyFont="1" applyFill="1" applyBorder="1" applyAlignment="1">
      <alignment horizontal="center" vertical="center" wrapText="1"/>
    </xf>
    <xf numFmtId="0" fontId="244" fillId="50" borderId="0" xfId="1509" applyFont="1" applyFill="1" applyAlignment="1">
      <alignment vertical="center" wrapText="1"/>
    </xf>
    <xf numFmtId="3" fontId="94" fillId="50" borderId="1" xfId="1482" applyNumberFormat="1" applyFont="1" applyFill="1" applyBorder="1" applyAlignment="1">
      <alignment horizontal="center" vertical="center" wrapText="1"/>
    </xf>
    <xf numFmtId="0" fontId="94" fillId="50" borderId="1" xfId="1422" applyFont="1" applyFill="1" applyBorder="1" applyAlignment="1" applyProtection="1">
      <alignment vertical="center"/>
    </xf>
    <xf numFmtId="3" fontId="249" fillId="50" borderId="1" xfId="1482" applyNumberFormat="1" applyFont="1" applyFill="1" applyBorder="1" applyAlignment="1">
      <alignment horizontal="right" vertical="center" wrapText="1"/>
    </xf>
    <xf numFmtId="3" fontId="3" fillId="50" borderId="1" xfId="1482" applyNumberFormat="1" applyFont="1" applyFill="1" applyBorder="1" applyAlignment="1">
      <alignment horizontal="right" vertical="center" wrapText="1"/>
    </xf>
    <xf numFmtId="3" fontId="53" fillId="50" borderId="1" xfId="1482" applyNumberFormat="1" applyFont="1" applyFill="1" applyBorder="1" applyAlignment="1">
      <alignment horizontal="right" vertical="center" wrapText="1"/>
    </xf>
    <xf numFmtId="0" fontId="248" fillId="51" borderId="13" xfId="1550" applyFont="1" applyFill="1" applyBorder="1" applyAlignment="1">
      <alignment vertical="center" wrapText="1"/>
    </xf>
    <xf numFmtId="2" fontId="248" fillId="51" borderId="1" xfId="1509" applyNumberFormat="1" applyFont="1" applyFill="1" applyBorder="1" applyAlignment="1">
      <alignment horizontal="center" vertical="center" wrapText="1"/>
    </xf>
    <xf numFmtId="0" fontId="248" fillId="51" borderId="1" xfId="1550" applyFont="1" applyFill="1" applyBorder="1" applyAlignment="1">
      <alignment vertical="center" wrapText="1"/>
    </xf>
    <xf numFmtId="0" fontId="0" fillId="51" borderId="0" xfId="0" applyFill="1"/>
    <xf numFmtId="0" fontId="250" fillId="50" borderId="1" xfId="1509" applyFont="1" applyFill="1" applyBorder="1" applyAlignment="1">
      <alignment horizontal="center" vertical="center" wrapText="1"/>
    </xf>
    <xf numFmtId="0" fontId="251" fillId="0" borderId="0" xfId="1482" applyFont="1" applyFill="1" applyAlignment="1">
      <alignment vertical="center" wrapText="1"/>
    </xf>
    <xf numFmtId="0" fontId="251" fillId="0" borderId="0" xfId="1482" applyFont="1" applyFill="1" applyAlignment="1">
      <alignment horizontal="left" vertical="center" wrapText="1"/>
    </xf>
    <xf numFmtId="0" fontId="251" fillId="0" borderId="0" xfId="1482" applyFont="1" applyFill="1" applyAlignment="1">
      <alignment horizontal="center" vertical="center" wrapText="1"/>
    </xf>
    <xf numFmtId="0" fontId="252" fillId="0" borderId="0" xfId="1482" applyFont="1" applyFill="1" applyAlignment="1">
      <alignment horizontal="center" vertical="center" wrapText="1"/>
    </xf>
    <xf numFmtId="0" fontId="218" fillId="50" borderId="1" xfId="1482" applyFont="1" applyFill="1" applyBorder="1" applyAlignment="1">
      <alignment horizontal="center" vertical="center" wrapText="1"/>
    </xf>
    <xf numFmtId="0" fontId="94" fillId="50" borderId="1" xfId="1482" applyFont="1" applyFill="1" applyBorder="1" applyAlignment="1">
      <alignment horizontal="center" vertical="center" wrapText="1"/>
    </xf>
    <xf numFmtId="0" fontId="94" fillId="50" borderId="1" xfId="1467" applyFont="1" applyFill="1" applyBorder="1" applyAlignment="1">
      <alignment horizontal="center" vertical="center" wrapText="1"/>
    </xf>
    <xf numFmtId="0" fontId="94" fillId="50" borderId="1" xfId="1422" applyFont="1" applyFill="1" applyBorder="1" applyAlignment="1" applyProtection="1">
      <alignment horizontal="right" vertical="center"/>
    </xf>
    <xf numFmtId="3" fontId="94" fillId="50" borderId="1" xfId="1482" applyNumberFormat="1" applyFont="1" applyFill="1" applyBorder="1" applyAlignment="1">
      <alignment horizontal="right" vertical="center" wrapText="1"/>
    </xf>
    <xf numFmtId="3" fontId="218" fillId="50" borderId="1" xfId="1482" applyNumberFormat="1" applyFont="1" applyFill="1" applyBorder="1" applyAlignment="1">
      <alignment horizontal="right" vertical="center" wrapText="1"/>
    </xf>
    <xf numFmtId="3" fontId="94" fillId="50" borderId="1" xfId="0" applyNumberFormat="1" applyFont="1" applyFill="1" applyBorder="1" applyAlignment="1">
      <alignment horizontal="right" vertical="center"/>
    </xf>
    <xf numFmtId="2" fontId="94" fillId="50" borderId="1" xfId="1482" applyNumberFormat="1" applyFont="1" applyFill="1" applyBorder="1" applyAlignment="1">
      <alignment horizontal="right" vertical="center" wrapText="1"/>
    </xf>
    <xf numFmtId="1" fontId="94" fillId="50" borderId="1" xfId="1482" applyNumberFormat="1" applyFont="1" applyFill="1" applyBorder="1" applyAlignment="1">
      <alignment horizontal="right" vertical="center" wrapText="1"/>
    </xf>
    <xf numFmtId="3" fontId="253" fillId="50" borderId="1" xfId="1482" applyNumberFormat="1" applyFont="1" applyFill="1" applyBorder="1" applyAlignment="1">
      <alignment horizontal="right" vertical="center" wrapText="1"/>
    </xf>
    <xf numFmtId="179" fontId="253" fillId="0" borderId="1" xfId="1482" applyNumberFormat="1" applyFont="1" applyFill="1" applyBorder="1" applyAlignment="1">
      <alignment vertical="center" wrapText="1"/>
    </xf>
    <xf numFmtId="1" fontId="218" fillId="50" borderId="1" xfId="1482" applyNumberFormat="1" applyFont="1" applyFill="1" applyBorder="1" applyAlignment="1">
      <alignment horizontal="right" vertical="center" wrapText="1"/>
    </xf>
    <xf numFmtId="2" fontId="218" fillId="50" borderId="1" xfId="1482" applyNumberFormat="1" applyFont="1" applyFill="1" applyBorder="1" applyAlignment="1">
      <alignment horizontal="right" vertical="center" wrapText="1"/>
    </xf>
    <xf numFmtId="3" fontId="218" fillId="0" borderId="1" xfId="1482" applyNumberFormat="1" applyFont="1" applyFill="1" applyBorder="1" applyAlignment="1">
      <alignment horizontal="right" vertical="center" wrapText="1"/>
    </xf>
    <xf numFmtId="0" fontId="240" fillId="0" borderId="0" xfId="1509" applyFont="1" applyAlignment="1">
      <alignment vertical="center" wrapText="1"/>
    </xf>
    <xf numFmtId="0" fontId="254" fillId="50" borderId="1" xfId="1510" applyFont="1" applyFill="1" applyBorder="1" applyAlignment="1">
      <alignment horizontal="center" vertical="center" wrapText="1"/>
    </xf>
    <xf numFmtId="0" fontId="254" fillId="0" borderId="1" xfId="1482" applyFont="1" applyBorder="1" applyAlignment="1">
      <alignment horizontal="center" vertical="center" wrapText="1"/>
    </xf>
    <xf numFmtId="0" fontId="244" fillId="0" borderId="0" xfId="1509" applyFont="1" applyAlignment="1">
      <alignment vertical="center" wrapText="1"/>
    </xf>
    <xf numFmtId="0" fontId="255" fillId="50" borderId="1" xfId="1510" applyFont="1" applyFill="1" applyBorder="1" applyAlignment="1">
      <alignment horizontal="center" vertical="center" wrapText="1"/>
    </xf>
    <xf numFmtId="0" fontId="255" fillId="50" borderId="13" xfId="1550" applyFont="1" applyFill="1" applyBorder="1" applyAlignment="1">
      <alignment vertical="center" wrapText="1"/>
    </xf>
    <xf numFmtId="284" fontId="255" fillId="50" borderId="13" xfId="1092" applyNumberFormat="1" applyFont="1" applyFill="1" applyBorder="1" applyAlignment="1">
      <alignment vertical="center" wrapText="1"/>
    </xf>
    <xf numFmtId="284" fontId="255" fillId="50" borderId="1" xfId="1092" applyNumberFormat="1" applyFont="1" applyFill="1" applyBorder="1" applyAlignment="1">
      <alignment horizontal="center" vertical="center" wrapText="1"/>
    </xf>
    <xf numFmtId="2" fontId="255" fillId="50" borderId="1" xfId="1509" applyNumberFormat="1" applyFont="1" applyFill="1" applyBorder="1" applyAlignment="1">
      <alignment horizontal="center" vertical="center" wrapText="1"/>
    </xf>
    <xf numFmtId="1" fontId="255" fillId="50" borderId="1" xfId="1509" applyNumberFormat="1" applyFont="1" applyFill="1" applyBorder="1" applyAlignment="1">
      <alignment vertical="center" wrapText="1"/>
    </xf>
    <xf numFmtId="0" fontId="255" fillId="0" borderId="1" xfId="1509" applyFont="1" applyBorder="1" applyAlignment="1">
      <alignment horizontal="center" vertical="center" wrapText="1"/>
    </xf>
    <xf numFmtId="0" fontId="255" fillId="50" borderId="1" xfId="1550" applyFont="1" applyFill="1" applyBorder="1" applyAlignment="1">
      <alignment vertical="center" wrapText="1"/>
    </xf>
    <xf numFmtId="2" fontId="255" fillId="50" borderId="1" xfId="1509" applyNumberFormat="1" applyFont="1" applyFill="1" applyBorder="1" applyAlignment="1">
      <alignment vertical="center" wrapText="1"/>
    </xf>
    <xf numFmtId="2" fontId="217" fillId="50" borderId="1" xfId="1509" applyNumberFormat="1" applyFont="1" applyFill="1" applyBorder="1" applyAlignment="1">
      <alignment vertical="center" wrapText="1"/>
    </xf>
    <xf numFmtId="0" fontId="255" fillId="0" borderId="1" xfId="1482" applyFont="1" applyBorder="1" applyAlignment="1">
      <alignment horizontal="center" vertical="center" wrapText="1"/>
    </xf>
    <xf numFmtId="0" fontId="256" fillId="0" borderId="1" xfId="0" applyFont="1" applyBorder="1" applyAlignment="1">
      <alignment vertical="center" wrapText="1"/>
    </xf>
    <xf numFmtId="0" fontId="255" fillId="50" borderId="1" xfId="0" applyFont="1" applyFill="1" applyBorder="1" applyAlignment="1">
      <alignment vertical="center" wrapText="1"/>
    </xf>
    <xf numFmtId="0" fontId="255" fillId="50" borderId="43" xfId="1550" applyFont="1" applyFill="1" applyBorder="1" applyAlignment="1">
      <alignment vertical="center" wrapText="1"/>
    </xf>
    <xf numFmtId="284" fontId="250" fillId="50" borderId="13" xfId="1092" applyNumberFormat="1" applyFont="1" applyFill="1" applyBorder="1" applyAlignment="1">
      <alignment vertical="center" wrapText="1"/>
    </xf>
    <xf numFmtId="284" fontId="250" fillId="50" borderId="43" xfId="1092" applyNumberFormat="1" applyFont="1" applyFill="1" applyBorder="1" applyAlignment="1">
      <alignment horizontal="right" vertical="center" wrapText="1"/>
    </xf>
    <xf numFmtId="284" fontId="250" fillId="50" borderId="1" xfId="1092" applyNumberFormat="1" applyFont="1" applyFill="1" applyBorder="1" applyAlignment="1">
      <alignment horizontal="center" vertical="center" wrapText="1"/>
    </xf>
    <xf numFmtId="2" fontId="250" fillId="50" borderId="1" xfId="1509" applyNumberFormat="1" applyFont="1" applyFill="1" applyBorder="1" applyAlignment="1">
      <alignment horizontal="center" vertical="center" wrapText="1"/>
    </xf>
    <xf numFmtId="0" fontId="240" fillId="0" borderId="0" xfId="1509" applyFont="1" applyAlignment="1">
      <alignment horizontal="center" vertical="center" wrapText="1"/>
    </xf>
    <xf numFmtId="0" fontId="257" fillId="50" borderId="0" xfId="1509" applyFont="1" applyFill="1" applyAlignment="1">
      <alignment vertical="center" wrapText="1"/>
    </xf>
    <xf numFmtId="0" fontId="252" fillId="50" borderId="1" xfId="1510" applyFont="1" applyFill="1" applyBorder="1" applyAlignment="1">
      <alignment horizontal="center" vertical="center" wrapText="1"/>
    </xf>
    <xf numFmtId="0" fontId="252" fillId="50" borderId="43" xfId="1510" applyFont="1" applyFill="1" applyBorder="1" applyAlignment="1">
      <alignment horizontal="center" vertical="center" wrapText="1"/>
    </xf>
    <xf numFmtId="0" fontId="252" fillId="50" borderId="1" xfId="1482" applyFont="1" applyFill="1" applyBorder="1" applyAlignment="1">
      <alignment horizontal="center" vertical="center" wrapText="1"/>
    </xf>
    <xf numFmtId="0" fontId="258" fillId="50" borderId="0" xfId="1509" applyFont="1" applyFill="1" applyAlignment="1">
      <alignment vertical="center" wrapText="1"/>
    </xf>
    <xf numFmtId="0" fontId="251" fillId="50" borderId="1" xfId="1510" applyFont="1" applyFill="1" applyBorder="1" applyAlignment="1">
      <alignment horizontal="center" vertical="center" wrapText="1"/>
    </xf>
    <xf numFmtId="0" fontId="251" fillId="50" borderId="1" xfId="1550" applyFont="1" applyFill="1" applyBorder="1" applyAlignment="1">
      <alignment vertical="center" wrapText="1"/>
    </xf>
    <xf numFmtId="284" fontId="251" fillId="50" borderId="1" xfId="1550" applyNumberFormat="1" applyFont="1" applyFill="1" applyBorder="1" applyAlignment="1">
      <alignment horizontal="right" vertical="center" wrapText="1"/>
    </xf>
    <xf numFmtId="284" fontId="251" fillId="50" borderId="1" xfId="1092" applyNumberFormat="1" applyFont="1" applyFill="1" applyBorder="1" applyAlignment="1">
      <alignment horizontal="right" vertical="center" wrapText="1"/>
    </xf>
    <xf numFmtId="2" fontId="251" fillId="50" borderId="1" xfId="1509" applyNumberFormat="1" applyFont="1" applyFill="1" applyBorder="1" applyAlignment="1">
      <alignment horizontal="center" vertical="center" wrapText="1"/>
    </xf>
    <xf numFmtId="0" fontId="259" fillId="0" borderId="1" xfId="0" applyFont="1" applyBorder="1" applyAlignment="1">
      <alignment vertical="center" wrapText="1"/>
    </xf>
    <xf numFmtId="284" fontId="251" fillId="50" borderId="43" xfId="1092" applyNumberFormat="1" applyFont="1" applyFill="1" applyBorder="1" applyAlignment="1">
      <alignment horizontal="center" vertical="center" wrapText="1"/>
    </xf>
    <xf numFmtId="0" fontId="251" fillId="50" borderId="1" xfId="1482" applyFont="1" applyFill="1" applyBorder="1" applyAlignment="1">
      <alignment horizontal="left" vertical="center" wrapText="1"/>
    </xf>
    <xf numFmtId="2" fontId="223" fillId="50" borderId="1" xfId="1509" applyNumberFormat="1" applyFont="1" applyFill="1" applyBorder="1" applyAlignment="1">
      <alignment vertical="center" wrapText="1"/>
    </xf>
    <xf numFmtId="0" fontId="259" fillId="50" borderId="1" xfId="1509" applyFont="1" applyFill="1" applyBorder="1" applyAlignment="1">
      <alignment horizontal="left" vertical="center" wrapText="1"/>
    </xf>
    <xf numFmtId="0" fontId="258" fillId="50" borderId="1" xfId="1509" applyFont="1" applyFill="1" applyBorder="1" applyAlignment="1">
      <alignment vertical="center" wrapText="1"/>
    </xf>
    <xf numFmtId="0" fontId="251" fillId="50" borderId="1" xfId="1509" applyFont="1" applyFill="1" applyBorder="1" applyAlignment="1">
      <alignment horizontal="left" vertical="center" wrapText="1"/>
    </xf>
    <xf numFmtId="0" fontId="251" fillId="50" borderId="1" xfId="1482" applyFont="1" applyFill="1" applyBorder="1" applyAlignment="1">
      <alignment horizontal="center" vertical="center" wrapText="1"/>
    </xf>
    <xf numFmtId="0" fontId="251" fillId="50" borderId="13" xfId="1550" applyFont="1" applyFill="1" applyBorder="1" applyAlignment="1">
      <alignment vertical="center" wrapText="1"/>
    </xf>
    <xf numFmtId="284" fontId="251" fillId="50" borderId="13" xfId="1092" applyNumberFormat="1" applyFont="1" applyFill="1" applyBorder="1" applyAlignment="1">
      <alignment horizontal="right" vertical="center" wrapText="1"/>
    </xf>
    <xf numFmtId="2" fontId="251" fillId="50" borderId="1" xfId="1509" applyNumberFormat="1" applyFont="1" applyFill="1" applyBorder="1" applyAlignment="1">
      <alignment vertical="center" wrapText="1"/>
    </xf>
    <xf numFmtId="284" fontId="251" fillId="50" borderId="1" xfId="1092" applyNumberFormat="1" applyFont="1" applyFill="1" applyBorder="1" applyAlignment="1">
      <alignment horizontal="center" vertical="center" wrapText="1"/>
    </xf>
    <xf numFmtId="284" fontId="252" fillId="50" borderId="43" xfId="1509" applyNumberFormat="1" applyFont="1" applyFill="1" applyBorder="1" applyAlignment="1">
      <alignment horizontal="right" vertical="center" wrapText="1"/>
    </xf>
    <xf numFmtId="284" fontId="252" fillId="50" borderId="1" xfId="1092" applyNumberFormat="1" applyFont="1" applyFill="1" applyBorder="1" applyAlignment="1">
      <alignment horizontal="right" vertical="center" wrapText="1"/>
    </xf>
    <xf numFmtId="2" fontId="252" fillId="50" borderId="1" xfId="1509" applyNumberFormat="1" applyFont="1" applyFill="1" applyBorder="1" applyAlignment="1">
      <alignment horizontal="center" vertical="center" wrapText="1"/>
    </xf>
    <xf numFmtId="284" fontId="252" fillId="50" borderId="1" xfId="1092" applyNumberFormat="1" applyFont="1" applyFill="1" applyBorder="1" applyAlignment="1">
      <alignment horizontal="center" vertical="center" wrapText="1"/>
    </xf>
    <xf numFmtId="0" fontId="252" fillId="50" borderId="1" xfId="1509" applyFont="1" applyFill="1" applyBorder="1" applyAlignment="1">
      <alignment horizontal="center" vertical="center" wrapText="1"/>
    </xf>
    <xf numFmtId="0" fontId="259" fillId="50" borderId="0" xfId="1419" applyFont="1" applyFill="1" applyAlignment="1">
      <alignment vertical="center" wrapText="1"/>
    </xf>
    <xf numFmtId="0" fontId="257" fillId="50" borderId="0" xfId="1509" applyFont="1" applyFill="1" applyAlignment="1">
      <alignment horizontal="center" vertical="center" wrapText="1"/>
    </xf>
    <xf numFmtId="0" fontId="251" fillId="50" borderId="1" xfId="1550" applyFont="1" applyFill="1" applyBorder="1" applyAlignment="1">
      <alignment horizontal="right" vertical="center" wrapText="1"/>
    </xf>
    <xf numFmtId="0" fontId="251" fillId="50" borderId="1" xfId="1509" applyFont="1" applyFill="1" applyBorder="1" applyAlignment="1">
      <alignment horizontal="right" vertical="center" wrapText="1"/>
    </xf>
    <xf numFmtId="0" fontId="223" fillId="50" borderId="1" xfId="0" applyFont="1" applyFill="1" applyBorder="1" applyAlignment="1">
      <alignment vertical="center" wrapText="1"/>
    </xf>
    <xf numFmtId="0" fontId="251" fillId="50" borderId="1" xfId="1509" applyFont="1" applyFill="1" applyBorder="1" applyAlignment="1">
      <alignment horizontal="center" vertical="center" wrapText="1"/>
    </xf>
    <xf numFmtId="1" fontId="251" fillId="50" borderId="1" xfId="1509" applyNumberFormat="1" applyFont="1" applyFill="1" applyBorder="1" applyAlignment="1">
      <alignment horizontal="center" vertical="center" wrapText="1"/>
    </xf>
    <xf numFmtId="0" fontId="252" fillId="50" borderId="1" xfId="1509" applyFont="1" applyFill="1" applyBorder="1" applyAlignment="1">
      <alignment horizontal="right" vertical="center" wrapText="1"/>
    </xf>
    <xf numFmtId="3" fontId="252" fillId="50" borderId="1" xfId="1509" applyNumberFormat="1" applyFont="1" applyFill="1" applyBorder="1" applyAlignment="1">
      <alignment horizontal="right" vertical="center" wrapText="1"/>
    </xf>
    <xf numFmtId="0" fontId="259" fillId="50" borderId="1" xfId="1510" applyFont="1" applyFill="1" applyBorder="1" applyAlignment="1">
      <alignment horizontal="center" vertical="center" wrapText="1"/>
    </xf>
    <xf numFmtId="0" fontId="259" fillId="50" borderId="1" xfId="1482" applyFont="1" applyFill="1" applyBorder="1" applyAlignment="1">
      <alignment horizontal="center" vertical="center" wrapText="1"/>
    </xf>
    <xf numFmtId="0" fontId="42" fillId="0" borderId="0" xfId="1438" applyFont="1"/>
    <xf numFmtId="0" fontId="42" fillId="0" borderId="0" xfId="1438" applyFont="1" applyAlignment="1">
      <alignment horizontal="left"/>
    </xf>
    <xf numFmtId="0" fontId="228" fillId="0" borderId="28" xfId="1438" applyFont="1" applyBorder="1" applyAlignment="1">
      <alignment horizontal="center" vertical="center"/>
    </xf>
    <xf numFmtId="0" fontId="228" fillId="0" borderId="28" xfId="1438" applyFont="1" applyFill="1" applyBorder="1" applyAlignment="1">
      <alignment vertical="center"/>
    </xf>
    <xf numFmtId="2" fontId="228" fillId="0" borderId="28" xfId="1438" applyNumberFormat="1" applyFont="1" applyBorder="1" applyAlignment="1">
      <alignment horizontal="center" vertical="center"/>
    </xf>
    <xf numFmtId="3" fontId="228" fillId="0" borderId="28" xfId="1438" applyNumberFormat="1" applyFont="1" applyBorder="1" applyAlignment="1">
      <alignment horizontal="center" vertical="center"/>
    </xf>
    <xf numFmtId="2" fontId="228" fillId="0" borderId="28" xfId="1438" quotePrefix="1" applyNumberFormat="1" applyFont="1" applyFill="1" applyBorder="1" applyAlignment="1">
      <alignment horizontal="center" vertical="center"/>
    </xf>
    <xf numFmtId="188" fontId="228" fillId="0" borderId="28" xfId="1438" quotePrefix="1" applyNumberFormat="1" applyFont="1" applyFill="1" applyBorder="1" applyAlignment="1">
      <alignment horizontal="center" vertical="center"/>
    </xf>
    <xf numFmtId="4" fontId="228" fillId="0" borderId="28" xfId="1438" quotePrefix="1" applyNumberFormat="1" applyFont="1" applyFill="1" applyBorder="1" applyAlignment="1">
      <alignment horizontal="center" vertical="center"/>
    </xf>
    <xf numFmtId="2" fontId="3" fillId="0" borderId="28" xfId="1438" quotePrefix="1" applyNumberFormat="1" applyFont="1" applyFill="1" applyBorder="1" applyAlignment="1">
      <alignment horizontal="center" vertical="center"/>
    </xf>
    <xf numFmtId="0" fontId="42" fillId="0" borderId="0" xfId="1438" applyFont="1" applyFill="1" applyAlignment="1">
      <alignment horizontal="left" vertical="center"/>
    </xf>
    <xf numFmtId="0" fontId="42" fillId="0" borderId="0" xfId="1438" applyFont="1" applyFill="1"/>
    <xf numFmtId="0" fontId="228" fillId="0" borderId="5" xfId="1438" applyFont="1" applyBorder="1" applyAlignment="1">
      <alignment horizontal="center" vertical="center"/>
    </xf>
    <xf numFmtId="0" fontId="228" fillId="0" borderId="5" xfId="1438" applyFont="1" applyFill="1" applyBorder="1" applyAlignment="1">
      <alignment vertical="center"/>
    </xf>
    <xf numFmtId="2" fontId="228" fillId="0" borderId="5" xfId="1438" applyNumberFormat="1" applyFont="1" applyBorder="1" applyAlignment="1">
      <alignment horizontal="center" vertical="center"/>
    </xf>
    <xf numFmtId="3" fontId="228" fillId="0" borderId="5" xfId="1438" applyNumberFormat="1" applyFont="1" applyBorder="1" applyAlignment="1">
      <alignment horizontal="center" vertical="center"/>
    </xf>
    <xf numFmtId="2" fontId="228" fillId="0" borderId="5" xfId="1438" quotePrefix="1" applyNumberFormat="1" applyFont="1" applyFill="1" applyBorder="1" applyAlignment="1">
      <alignment horizontal="center" vertical="center"/>
    </xf>
    <xf numFmtId="188" fontId="228" fillId="0" borderId="5" xfId="1438" quotePrefix="1" applyNumberFormat="1" applyFont="1" applyFill="1" applyBorder="1" applyAlignment="1">
      <alignment horizontal="center" vertical="center"/>
    </xf>
    <xf numFmtId="4" fontId="228" fillId="0" borderId="5" xfId="1438" quotePrefix="1" applyNumberFormat="1" applyFont="1" applyFill="1" applyBorder="1" applyAlignment="1">
      <alignment horizontal="center" vertical="center"/>
    </xf>
    <xf numFmtId="2" fontId="3" fillId="0" borderId="5" xfId="1438" quotePrefix="1" applyNumberFormat="1" applyFont="1" applyFill="1" applyBorder="1" applyAlignment="1">
      <alignment horizontal="center" vertical="center"/>
    </xf>
    <xf numFmtId="0" fontId="228" fillId="0" borderId="5" xfId="1438" applyFont="1" applyFill="1" applyBorder="1" applyAlignment="1">
      <alignment horizontal="left" vertical="center"/>
    </xf>
    <xf numFmtId="179" fontId="42" fillId="0" borderId="0" xfId="1438" applyNumberFormat="1" applyFont="1"/>
    <xf numFmtId="188" fontId="228" fillId="0" borderId="42" xfId="1438" quotePrefix="1" applyNumberFormat="1" applyFont="1" applyFill="1" applyBorder="1" applyAlignment="1">
      <alignment horizontal="center" vertical="center"/>
    </xf>
    <xf numFmtId="4" fontId="228" fillId="0" borderId="42" xfId="1438" quotePrefix="1" applyNumberFormat="1" applyFont="1" applyFill="1" applyBorder="1" applyAlignment="1">
      <alignment horizontal="center" vertical="center"/>
    </xf>
    <xf numFmtId="187" fontId="226" fillId="0" borderId="1" xfId="1438" applyNumberFormat="1" applyFont="1" applyBorder="1" applyAlignment="1">
      <alignment horizontal="center" vertical="center"/>
    </xf>
    <xf numFmtId="3" fontId="226" fillId="0" borderId="1" xfId="1438" applyNumberFormat="1" applyFont="1" applyBorder="1" applyAlignment="1">
      <alignment horizontal="center" vertical="center"/>
    </xf>
    <xf numFmtId="2" fontId="226" fillId="0" borderId="1" xfId="1438" applyNumberFormat="1" applyFont="1" applyFill="1" applyBorder="1" applyAlignment="1">
      <alignment horizontal="center" vertical="center"/>
    </xf>
    <xf numFmtId="188" fontId="226" fillId="0" borderId="13" xfId="1438" quotePrefix="1" applyNumberFormat="1" applyFont="1" applyFill="1" applyBorder="1" applyAlignment="1">
      <alignment horizontal="center" vertical="center"/>
    </xf>
    <xf numFmtId="0" fontId="42" fillId="0" borderId="0" xfId="1438" applyNumberFormat="1" applyFont="1" applyFill="1"/>
    <xf numFmtId="1" fontId="53" fillId="0" borderId="0" xfId="1438" applyNumberFormat="1" applyFont="1" applyFill="1" applyBorder="1" applyAlignment="1">
      <alignment horizontal="center" vertical="center"/>
    </xf>
    <xf numFmtId="0" fontId="53" fillId="0" borderId="0" xfId="1438" applyFont="1" applyBorder="1" applyAlignment="1">
      <alignment horizontal="center" vertical="center"/>
    </xf>
    <xf numFmtId="187" fontId="53" fillId="0" borderId="0" xfId="1438" applyNumberFormat="1" applyFont="1" applyBorder="1" applyAlignment="1">
      <alignment horizontal="center" vertical="center"/>
    </xf>
    <xf numFmtId="3" fontId="53" fillId="0" borderId="0" xfId="1438" applyNumberFormat="1" applyFont="1" applyBorder="1" applyAlignment="1">
      <alignment horizontal="center" vertical="center"/>
    </xf>
    <xf numFmtId="2" fontId="53" fillId="0" borderId="0" xfId="1438" applyNumberFormat="1" applyFont="1" applyBorder="1" applyAlignment="1">
      <alignment horizontal="center" vertical="center"/>
    </xf>
    <xf numFmtId="0" fontId="216" fillId="0" borderId="0" xfId="1438" quotePrefix="1" applyFont="1" applyAlignment="1">
      <alignment vertical="center" wrapText="1"/>
    </xf>
    <xf numFmtId="0" fontId="216" fillId="0" borderId="0" xfId="1438" quotePrefix="1" applyFont="1" applyFill="1" applyAlignment="1">
      <alignment vertical="center" wrapText="1"/>
    </xf>
    <xf numFmtId="2" fontId="42" fillId="0" borderId="0" xfId="1438" applyNumberFormat="1" applyFont="1"/>
    <xf numFmtId="0" fontId="216" fillId="0" borderId="0" xfId="1414" applyFont="1" applyFill="1"/>
    <xf numFmtId="0" fontId="75" fillId="0" borderId="0" xfId="1414" applyFont="1" applyFill="1" applyAlignment="1">
      <alignment horizontal="center"/>
    </xf>
    <xf numFmtId="0" fontId="75" fillId="0" borderId="0" xfId="1517" applyFont="1" applyFill="1" applyAlignment="1">
      <alignment horizontal="centerContinuous"/>
    </xf>
    <xf numFmtId="0" fontId="216" fillId="0" borderId="0" xfId="1414" applyFont="1" applyFill="1" applyAlignment="1">
      <alignment horizontal="centerContinuous"/>
    </xf>
    <xf numFmtId="0" fontId="229" fillId="0" borderId="0" xfId="1517" applyFont="1" applyFill="1" applyAlignment="1">
      <alignment horizontal="centerContinuous"/>
    </xf>
    <xf numFmtId="179" fontId="216" fillId="0" borderId="0" xfId="1414" applyNumberFormat="1" applyFont="1" applyFill="1"/>
    <xf numFmtId="0" fontId="75" fillId="0" borderId="1" xfId="1414" applyFont="1" applyFill="1" applyBorder="1" applyAlignment="1">
      <alignment horizontal="center" vertical="center"/>
    </xf>
    <xf numFmtId="0" fontId="75" fillId="0" borderId="1" xfId="1414" applyFont="1" applyFill="1" applyBorder="1" applyAlignment="1">
      <alignment horizontal="center" vertical="center" wrapText="1"/>
    </xf>
    <xf numFmtId="0" fontId="75" fillId="0" borderId="30" xfId="1414" applyFont="1" applyFill="1" applyBorder="1" applyAlignment="1">
      <alignment horizontal="center" vertical="center"/>
    </xf>
    <xf numFmtId="0" fontId="219" fillId="0" borderId="1" xfId="1414" applyFont="1" applyFill="1" applyBorder="1" applyAlignment="1">
      <alignment horizontal="center" vertical="center" wrapText="1"/>
    </xf>
    <xf numFmtId="0" fontId="216" fillId="0" borderId="30" xfId="1414" applyFont="1" applyFill="1" applyBorder="1" applyAlignment="1">
      <alignment horizontal="center" vertical="center" wrapText="1"/>
    </xf>
    <xf numFmtId="0" fontId="203" fillId="0" borderId="1" xfId="1414" applyFont="1" applyFill="1" applyBorder="1" applyAlignment="1">
      <alignment horizontal="center" vertical="center" wrapText="1"/>
    </xf>
    <xf numFmtId="0" fontId="75" fillId="0" borderId="13" xfId="1414" applyFont="1" applyFill="1" applyBorder="1" applyAlignment="1">
      <alignment horizontal="center" vertical="center" wrapText="1"/>
    </xf>
    <xf numFmtId="0" fontId="216" fillId="0" borderId="13" xfId="1414" applyFont="1" applyFill="1" applyBorder="1" applyAlignment="1">
      <alignment horizontal="center" vertical="center" wrapText="1"/>
    </xf>
    <xf numFmtId="0" fontId="230" fillId="0" borderId="13" xfId="1414" applyFont="1" applyFill="1" applyBorder="1" applyAlignment="1">
      <alignment horizontal="center" vertical="center" wrapText="1"/>
    </xf>
    <xf numFmtId="0" fontId="3" fillId="0" borderId="1" xfId="1414" applyFont="1" applyFill="1" applyBorder="1" applyAlignment="1">
      <alignment horizontal="center" vertical="center" wrapText="1"/>
    </xf>
    <xf numFmtId="3" fontId="216" fillId="0" borderId="13" xfId="1414" applyNumberFormat="1" applyFont="1" applyFill="1" applyBorder="1" applyAlignment="1">
      <alignment horizontal="center" vertical="center" wrapText="1"/>
    </xf>
    <xf numFmtId="0" fontId="75" fillId="0" borderId="1" xfId="1414" applyFont="1" applyFill="1" applyBorder="1" applyAlignment="1">
      <alignment horizontal="left" vertical="center" wrapText="1"/>
    </xf>
    <xf numFmtId="2" fontId="75" fillId="0" borderId="1" xfId="1414" applyNumberFormat="1" applyFont="1" applyFill="1" applyBorder="1" applyAlignment="1">
      <alignment horizontal="center" vertical="center" wrapText="1"/>
    </xf>
    <xf numFmtId="2" fontId="231" fillId="0" borderId="1" xfId="1414" applyNumberFormat="1" applyFont="1" applyFill="1" applyBorder="1" applyAlignment="1">
      <alignment horizontal="center" vertical="center" wrapText="1"/>
    </xf>
    <xf numFmtId="2" fontId="219" fillId="0" borderId="1" xfId="1414" applyNumberFormat="1" applyFont="1" applyFill="1" applyBorder="1" applyAlignment="1">
      <alignment horizontal="center" vertical="center" wrapText="1"/>
    </xf>
    <xf numFmtId="3" fontId="75" fillId="0" borderId="1" xfId="1414" applyNumberFormat="1" applyFont="1" applyFill="1" applyBorder="1" applyAlignment="1">
      <alignment horizontal="center" vertical="center" wrapText="1"/>
    </xf>
    <xf numFmtId="4" fontId="75" fillId="0" borderId="1" xfId="1414" applyNumberFormat="1" applyFont="1" applyFill="1" applyBorder="1" applyAlignment="1">
      <alignment horizontal="center" vertical="center" wrapText="1"/>
    </xf>
    <xf numFmtId="4" fontId="219" fillId="0" borderId="1" xfId="1414" applyNumberFormat="1" applyFont="1" applyFill="1" applyBorder="1" applyAlignment="1">
      <alignment horizontal="center" vertical="center" wrapText="1"/>
    </xf>
    <xf numFmtId="223" fontId="75" fillId="0" borderId="1" xfId="1414" applyNumberFormat="1" applyFont="1" applyFill="1" applyBorder="1" applyAlignment="1">
      <alignment horizontal="center" vertical="center" wrapText="1"/>
    </xf>
    <xf numFmtId="0" fontId="216" fillId="0" borderId="1" xfId="1414" applyFont="1" applyFill="1" applyBorder="1"/>
    <xf numFmtId="0" fontId="216" fillId="0" borderId="1" xfId="1414" applyFont="1" applyFill="1" applyBorder="1" applyAlignment="1">
      <alignment horizontal="center" vertical="center"/>
    </xf>
    <xf numFmtId="0" fontId="216" fillId="0" borderId="1" xfId="1414" applyFont="1" applyFill="1" applyBorder="1" applyAlignment="1">
      <alignment vertical="center"/>
    </xf>
    <xf numFmtId="2" fontId="75" fillId="0" borderId="1" xfId="1120" applyNumberFormat="1" applyFont="1" applyFill="1" applyBorder="1" applyAlignment="1">
      <alignment horizontal="center" vertical="center" wrapText="1"/>
    </xf>
    <xf numFmtId="2" fontId="220" fillId="0" borderId="1" xfId="1414" applyNumberFormat="1" applyFont="1" applyFill="1" applyBorder="1" applyAlignment="1">
      <alignment horizontal="center" vertical="center" wrapText="1"/>
    </xf>
    <xf numFmtId="179" fontId="216" fillId="0" borderId="1" xfId="1414" applyNumberFormat="1" applyFont="1" applyFill="1" applyBorder="1" applyAlignment="1">
      <alignment horizontal="center" vertical="center" wrapText="1"/>
    </xf>
    <xf numFmtId="2" fontId="216" fillId="0" borderId="1" xfId="1414" applyNumberFormat="1" applyFont="1" applyFill="1" applyBorder="1" applyAlignment="1">
      <alignment horizontal="center" vertical="center" wrapText="1"/>
    </xf>
    <xf numFmtId="3" fontId="231" fillId="0" borderId="1" xfId="1414" applyNumberFormat="1" applyFont="1" applyFill="1" applyBorder="1" applyAlignment="1">
      <alignment horizontal="center" vertical="center" wrapText="1"/>
    </xf>
    <xf numFmtId="4" fontId="75" fillId="0" borderId="1" xfId="1120" applyNumberFormat="1" applyFont="1" applyFill="1" applyBorder="1" applyAlignment="1">
      <alignment horizontal="center" vertical="center" wrapText="1"/>
    </xf>
    <xf numFmtId="4" fontId="260" fillId="0" borderId="1" xfId="1120" applyNumberFormat="1" applyFont="1" applyFill="1" applyBorder="1" applyAlignment="1">
      <alignment horizontal="center" vertical="center" wrapText="1"/>
    </xf>
    <xf numFmtId="9" fontId="216" fillId="0" borderId="1" xfId="1120" applyNumberFormat="1" applyFont="1" applyFill="1" applyBorder="1" applyAlignment="1">
      <alignment horizontal="center" vertical="center" wrapText="1"/>
    </xf>
    <xf numFmtId="9" fontId="216" fillId="0" borderId="1" xfId="1414" applyNumberFormat="1" applyFont="1" applyFill="1" applyBorder="1"/>
    <xf numFmtId="4" fontId="216" fillId="0" borderId="1" xfId="1120" applyNumberFormat="1" applyFont="1" applyFill="1" applyBorder="1" applyAlignment="1">
      <alignment horizontal="center" vertical="center" wrapText="1"/>
    </xf>
    <xf numFmtId="4" fontId="216" fillId="0" borderId="1" xfId="1414" applyNumberFormat="1" applyFont="1" applyFill="1" applyBorder="1"/>
    <xf numFmtId="2" fontId="220" fillId="0" borderId="1" xfId="1120" applyNumberFormat="1" applyFont="1" applyFill="1" applyBorder="1" applyAlignment="1">
      <alignment horizontal="center" vertical="center" wrapText="1"/>
    </xf>
    <xf numFmtId="2" fontId="231" fillId="0" borderId="1" xfId="1120" applyNumberFormat="1" applyFont="1" applyFill="1" applyBorder="1" applyAlignment="1">
      <alignment horizontal="center" vertical="center" wrapText="1"/>
    </xf>
    <xf numFmtId="2" fontId="261" fillId="0" borderId="1" xfId="1120" applyNumberFormat="1" applyFont="1" applyFill="1" applyBorder="1" applyAlignment="1">
      <alignment horizontal="center" vertical="center" wrapText="1"/>
    </xf>
    <xf numFmtId="2" fontId="219" fillId="0" borderId="1" xfId="1120" applyNumberFormat="1" applyFont="1" applyFill="1" applyBorder="1" applyAlignment="1">
      <alignment horizontal="center" vertical="center" wrapText="1"/>
    </xf>
    <xf numFmtId="2" fontId="216" fillId="0" borderId="1" xfId="1120" applyNumberFormat="1" applyFont="1" applyFill="1" applyBorder="1" applyAlignment="1">
      <alignment horizontal="center" vertical="center" wrapText="1"/>
    </xf>
    <xf numFmtId="3" fontId="75" fillId="0" borderId="1" xfId="1120" applyNumberFormat="1" applyFont="1" applyFill="1" applyBorder="1" applyAlignment="1">
      <alignment horizontal="center" vertical="center" wrapText="1"/>
    </xf>
    <xf numFmtId="2" fontId="232" fillId="0" borderId="1" xfId="1120" applyNumberFormat="1" applyFont="1" applyFill="1" applyBorder="1" applyAlignment="1">
      <alignment horizontal="center" vertical="center" wrapText="1"/>
    </xf>
    <xf numFmtId="1" fontId="75" fillId="0" borderId="1" xfId="1120" applyNumberFormat="1" applyFont="1" applyFill="1" applyBorder="1" applyAlignment="1">
      <alignment horizontal="center" vertical="center" wrapText="1"/>
    </xf>
    <xf numFmtId="179" fontId="216" fillId="0" borderId="1" xfId="1120" applyNumberFormat="1" applyFont="1" applyFill="1" applyBorder="1" applyAlignment="1">
      <alignment horizontal="center" vertical="center" wrapText="1"/>
    </xf>
    <xf numFmtId="4" fontId="220" fillId="0" borderId="1" xfId="1120" applyNumberFormat="1" applyFont="1" applyFill="1" applyBorder="1" applyAlignment="1">
      <alignment horizontal="center" vertical="center" wrapText="1"/>
    </xf>
    <xf numFmtId="4" fontId="232" fillId="0" borderId="1" xfId="1120" applyNumberFormat="1" applyFont="1" applyFill="1" applyBorder="1" applyAlignment="1">
      <alignment horizontal="center" vertical="center" wrapText="1"/>
    </xf>
    <xf numFmtId="3" fontId="231" fillId="0" borderId="1" xfId="1120" applyNumberFormat="1" applyFont="1" applyFill="1" applyBorder="1" applyAlignment="1">
      <alignment horizontal="center" vertical="center" wrapText="1"/>
    </xf>
    <xf numFmtId="4" fontId="219" fillId="0" borderId="1" xfId="1120" applyNumberFormat="1" applyFont="1" applyFill="1" applyBorder="1" applyAlignment="1">
      <alignment horizontal="center" vertical="center" wrapText="1"/>
    </xf>
    <xf numFmtId="9" fontId="75" fillId="0" borderId="1" xfId="1414" applyNumberFormat="1" applyFont="1" applyFill="1" applyBorder="1" applyAlignment="1">
      <alignment horizontal="center" vertical="center" wrapText="1"/>
    </xf>
    <xf numFmtId="0" fontId="230" fillId="0" borderId="1" xfId="1414" applyFont="1" applyFill="1" applyBorder="1" applyAlignment="1">
      <alignment horizontal="center" vertical="center"/>
    </xf>
    <xf numFmtId="0" fontId="75" fillId="0" borderId="1" xfId="1414" applyFont="1" applyFill="1" applyBorder="1" applyAlignment="1">
      <alignment vertical="center"/>
    </xf>
    <xf numFmtId="9" fontId="75" fillId="0" borderId="1" xfId="1414" applyNumberFormat="1" applyFont="1" applyFill="1" applyBorder="1"/>
    <xf numFmtId="4" fontId="75" fillId="0" borderId="1" xfId="1414" applyNumberFormat="1" applyFont="1" applyFill="1" applyBorder="1"/>
    <xf numFmtId="0" fontId="230" fillId="0" borderId="0" xfId="1414" applyFont="1" applyFill="1"/>
    <xf numFmtId="2" fontId="216" fillId="0" borderId="0" xfId="1414" applyNumberFormat="1" applyFont="1" applyFill="1"/>
    <xf numFmtId="3" fontId="216" fillId="0" borderId="0" xfId="1414" applyNumberFormat="1" applyFont="1" applyFill="1"/>
    <xf numFmtId="10" fontId="216" fillId="0" borderId="0" xfId="1414" applyNumberFormat="1" applyFont="1" applyFill="1"/>
    <xf numFmtId="0" fontId="217" fillId="0" borderId="1" xfId="1414" applyFont="1" applyFill="1" applyBorder="1" applyAlignment="1">
      <alignment horizontal="center"/>
    </xf>
    <xf numFmtId="0" fontId="217" fillId="0" borderId="1" xfId="1414" applyFont="1" applyFill="1" applyBorder="1"/>
    <xf numFmtId="223" fontId="216" fillId="0" borderId="1" xfId="1414" applyNumberFormat="1" applyFont="1" applyFill="1" applyBorder="1"/>
    <xf numFmtId="0" fontId="219" fillId="0" borderId="1" xfId="1414" applyFont="1" applyFill="1" applyBorder="1"/>
    <xf numFmtId="0" fontId="230" fillId="0" borderId="1" xfId="1414" applyFont="1" applyFill="1" applyBorder="1"/>
    <xf numFmtId="0" fontId="220" fillId="0" borderId="1" xfId="1414" applyFont="1" applyFill="1" applyBorder="1"/>
    <xf numFmtId="3" fontId="216" fillId="0" borderId="1" xfId="1414" applyNumberFormat="1" applyFont="1" applyFill="1" applyBorder="1"/>
    <xf numFmtId="4" fontId="219" fillId="0" borderId="1" xfId="1414" applyNumberFormat="1" applyFont="1" applyFill="1" applyBorder="1"/>
    <xf numFmtId="2" fontId="219" fillId="0" borderId="1" xfId="1414" applyNumberFormat="1" applyFont="1" applyFill="1" applyBorder="1"/>
    <xf numFmtId="0" fontId="75" fillId="0" borderId="1" xfId="1414" applyFont="1" applyFill="1" applyBorder="1"/>
    <xf numFmtId="3" fontId="75" fillId="0" borderId="1" xfId="1414" applyNumberFormat="1" applyFont="1" applyFill="1" applyBorder="1"/>
    <xf numFmtId="0" fontId="216" fillId="0" borderId="1" xfId="1414" applyFont="1" applyFill="1" applyBorder="1" applyAlignment="1">
      <alignment horizontal="center" vertical="center" wrapText="1"/>
    </xf>
    <xf numFmtId="3" fontId="216" fillId="0" borderId="1" xfId="1414" applyNumberFormat="1" applyFont="1" applyFill="1" applyBorder="1" applyAlignment="1">
      <alignment horizontal="center" vertical="center" wrapText="1"/>
    </xf>
    <xf numFmtId="0" fontId="216" fillId="0" borderId="1" xfId="1414" applyFont="1" applyFill="1" applyBorder="1" applyAlignment="1">
      <alignment horizontal="center"/>
    </xf>
    <xf numFmtId="0" fontId="216" fillId="0" borderId="1" xfId="1414" applyFont="1" applyFill="1" applyBorder="1" applyAlignment="1">
      <alignment horizontal="left"/>
    </xf>
    <xf numFmtId="223" fontId="216" fillId="0" borderId="1" xfId="1414" applyNumberFormat="1" applyFont="1" applyFill="1" applyBorder="1" applyAlignment="1">
      <alignment wrapText="1"/>
    </xf>
    <xf numFmtId="223" fontId="216" fillId="0" borderId="1" xfId="1414" applyNumberFormat="1" applyFont="1" applyFill="1" applyBorder="1" applyAlignment="1"/>
    <xf numFmtId="2" fontId="75" fillId="0" borderId="1" xfId="1414" applyNumberFormat="1" applyFont="1" applyFill="1" applyBorder="1"/>
    <xf numFmtId="1" fontId="216" fillId="0" borderId="1" xfId="1414" applyNumberFormat="1" applyFont="1" applyFill="1" applyBorder="1"/>
    <xf numFmtId="0" fontId="220" fillId="0" borderId="1" xfId="1414" applyFont="1" applyFill="1" applyBorder="1" applyAlignment="1">
      <alignment horizontal="left"/>
    </xf>
    <xf numFmtId="4" fontId="220" fillId="0" borderId="1" xfId="1414" applyNumberFormat="1" applyFont="1" applyFill="1" applyBorder="1"/>
    <xf numFmtId="0" fontId="216" fillId="0" borderId="1" xfId="1414" applyFont="1" applyFill="1" applyBorder="1" applyAlignment="1">
      <alignment horizontal="left" wrapText="1"/>
    </xf>
    <xf numFmtId="0" fontId="75" fillId="0" borderId="1" xfId="1414" applyFont="1" applyFill="1" applyBorder="1" applyAlignment="1"/>
    <xf numFmtId="0" fontId="216" fillId="0" borderId="1" xfId="1414" applyFont="1" applyFill="1" applyBorder="1" applyAlignment="1"/>
    <xf numFmtId="1" fontId="75" fillId="0" borderId="1" xfId="1414" applyNumberFormat="1" applyFont="1" applyFill="1" applyBorder="1"/>
    <xf numFmtId="1" fontId="216" fillId="0" borderId="1" xfId="1545" applyNumberFormat="1" applyFont="1" applyFill="1" applyBorder="1" applyAlignment="1">
      <alignment horizontal="center" vertical="center"/>
    </xf>
    <xf numFmtId="2" fontId="216" fillId="0" borderId="1" xfId="1414" applyNumberFormat="1" applyFont="1" applyFill="1" applyBorder="1" applyAlignment="1">
      <alignment horizontal="center" vertical="center"/>
    </xf>
    <xf numFmtId="2" fontId="216" fillId="0" borderId="1" xfId="1102" applyNumberFormat="1" applyFont="1" applyFill="1" applyBorder="1" applyAlignment="1">
      <alignment horizontal="center" vertical="center"/>
    </xf>
    <xf numFmtId="1" fontId="220" fillId="0" borderId="1" xfId="1545" applyNumberFormat="1" applyFont="1" applyFill="1" applyBorder="1" applyAlignment="1">
      <alignment horizontal="center" vertical="center"/>
    </xf>
    <xf numFmtId="2" fontId="220" fillId="0" borderId="1" xfId="1102" applyNumberFormat="1" applyFont="1" applyFill="1" applyBorder="1" applyAlignment="1">
      <alignment horizontal="center" vertical="center"/>
    </xf>
    <xf numFmtId="179" fontId="216" fillId="0" borderId="1" xfId="1414" applyNumberFormat="1" applyFont="1" applyFill="1" applyBorder="1"/>
    <xf numFmtId="4" fontId="216" fillId="0" borderId="1" xfId="1414" applyNumberFormat="1" applyFont="1" applyFill="1" applyBorder="1" applyAlignment="1">
      <alignment vertical="center" wrapText="1"/>
    </xf>
    <xf numFmtId="4" fontId="216" fillId="0" borderId="1" xfId="1414" applyNumberFormat="1" applyFont="1" applyFill="1" applyBorder="1" applyAlignment="1">
      <alignment horizontal="center" vertical="center" wrapText="1"/>
    </xf>
    <xf numFmtId="4" fontId="220" fillId="0" borderId="1" xfId="1414" applyNumberFormat="1" applyFont="1" applyFill="1" applyBorder="1" applyAlignment="1">
      <alignment horizontal="center" vertical="center" wrapText="1"/>
    </xf>
    <xf numFmtId="223" fontId="216" fillId="0" borderId="1" xfId="1414" applyNumberFormat="1" applyFont="1" applyFill="1" applyBorder="1" applyAlignment="1">
      <alignment horizontal="center" vertical="center" wrapText="1"/>
    </xf>
    <xf numFmtId="4" fontId="216" fillId="0" borderId="1" xfId="1414" applyNumberFormat="1" applyFont="1" applyFill="1" applyBorder="1" applyAlignment="1">
      <alignment vertical="center"/>
    </xf>
    <xf numFmtId="4" fontId="216" fillId="0" borderId="1" xfId="1414" applyNumberFormat="1" applyFont="1" applyFill="1" applyBorder="1" applyAlignment="1">
      <alignment horizontal="left" vertical="center"/>
    </xf>
    <xf numFmtId="4" fontId="220" fillId="0" borderId="1" xfId="1414" applyNumberFormat="1" applyFont="1" applyFill="1" applyBorder="1" applyAlignment="1">
      <alignment vertical="center" wrapText="1"/>
    </xf>
    <xf numFmtId="4" fontId="217" fillId="0" borderId="1" xfId="1414" applyNumberFormat="1" applyFont="1" applyFill="1" applyBorder="1" applyAlignment="1">
      <alignment horizontal="right"/>
    </xf>
    <xf numFmtId="0" fontId="217" fillId="0" borderId="1" xfId="1414" applyNumberFormat="1" applyFont="1" applyFill="1" applyBorder="1" applyAlignment="1">
      <alignment horizontal="center"/>
    </xf>
    <xf numFmtId="4" fontId="217" fillId="0" borderId="1" xfId="1414" applyNumberFormat="1" applyFont="1" applyFill="1" applyBorder="1"/>
    <xf numFmtId="4" fontId="216" fillId="0" borderId="0" xfId="1414" applyNumberFormat="1" applyFont="1" applyFill="1"/>
    <xf numFmtId="0" fontId="216" fillId="0" borderId="1" xfId="1545" applyFont="1" applyFill="1" applyBorder="1" applyAlignment="1">
      <alignment horizontal="center" vertical="center"/>
    </xf>
    <xf numFmtId="287" fontId="216" fillId="0" borderId="1" xfId="1102" applyNumberFormat="1" applyFont="1" applyFill="1" applyBorder="1" applyAlignment="1">
      <alignment vertical="center"/>
    </xf>
    <xf numFmtId="288" fontId="216" fillId="0" borderId="1" xfId="1102" applyNumberFormat="1" applyFont="1" applyFill="1" applyBorder="1" applyAlignment="1">
      <alignment vertical="center"/>
    </xf>
    <xf numFmtId="2" fontId="216" fillId="0" borderId="1" xfId="1414" applyNumberFormat="1" applyFont="1" applyFill="1" applyBorder="1" applyAlignment="1">
      <alignment vertical="center"/>
    </xf>
    <xf numFmtId="179" fontId="216" fillId="0" borderId="1" xfId="1414" applyNumberFormat="1" applyFont="1" applyFill="1" applyBorder="1" applyAlignment="1">
      <alignment vertical="center"/>
    </xf>
    <xf numFmtId="0" fontId="216" fillId="0" borderId="1" xfId="1414" applyFont="1" applyFill="1" applyBorder="1" applyAlignment="1">
      <alignment horizontal="left" vertical="center"/>
    </xf>
    <xf numFmtId="4" fontId="216" fillId="0" borderId="1" xfId="1102" applyNumberFormat="1" applyFont="1" applyFill="1" applyBorder="1"/>
    <xf numFmtId="4" fontId="216" fillId="0" borderId="1" xfId="1102" applyNumberFormat="1" applyFont="1" applyFill="1" applyBorder="1" applyAlignment="1">
      <alignment vertical="center"/>
    </xf>
    <xf numFmtId="223" fontId="216" fillId="0" borderId="1" xfId="1102" applyNumberFormat="1" applyFont="1" applyFill="1" applyBorder="1"/>
    <xf numFmtId="4" fontId="233" fillId="0" borderId="1" xfId="1414" applyNumberFormat="1" applyFont="1" applyFill="1" applyBorder="1" applyAlignment="1">
      <alignment horizontal="center"/>
    </xf>
    <xf numFmtId="4" fontId="220" fillId="0" borderId="1" xfId="1414" applyNumberFormat="1" applyFont="1" applyFill="1" applyBorder="1" applyAlignment="1">
      <alignment horizontal="center"/>
    </xf>
    <xf numFmtId="4" fontId="230" fillId="0" borderId="1" xfId="1414" applyNumberFormat="1" applyFont="1" applyFill="1" applyBorder="1"/>
    <xf numFmtId="4" fontId="260" fillId="0" borderId="1" xfId="1414" applyNumberFormat="1" applyFont="1" applyFill="1" applyBorder="1"/>
    <xf numFmtId="4" fontId="234" fillId="0" borderId="1" xfId="1414" applyNumberFormat="1" applyFont="1" applyFill="1" applyBorder="1"/>
    <xf numFmtId="4" fontId="235" fillId="0" borderId="1" xfId="1414" applyNumberFormat="1" applyFont="1" applyFill="1" applyBorder="1"/>
    <xf numFmtId="4" fontId="233" fillId="0" borderId="1" xfId="1414" applyNumberFormat="1" applyFont="1" applyFill="1" applyBorder="1"/>
    <xf numFmtId="4" fontId="262" fillId="0" borderId="1" xfId="1414" applyNumberFormat="1" applyFont="1" applyFill="1" applyBorder="1"/>
    <xf numFmtId="170" fontId="216" fillId="0" borderId="1" xfId="1414" applyNumberFormat="1" applyFont="1" applyFill="1" applyBorder="1"/>
    <xf numFmtId="0" fontId="216" fillId="0" borderId="1" xfId="1414" applyFont="1" applyFill="1" applyBorder="1" applyAlignment="1">
      <alignment horizontal="right"/>
    </xf>
    <xf numFmtId="2" fontId="216" fillId="0" borderId="1" xfId="1414" applyNumberFormat="1" applyFont="1" applyFill="1" applyBorder="1" applyAlignment="1"/>
    <xf numFmtId="0" fontId="220" fillId="0" borderId="1" xfId="1414" applyFont="1" applyFill="1" applyBorder="1" applyAlignment="1">
      <alignment horizontal="center"/>
    </xf>
    <xf numFmtId="0" fontId="220" fillId="0" borderId="1" xfId="1414" applyFont="1" applyFill="1" applyBorder="1" applyAlignment="1">
      <alignment horizontal="left" vertical="center"/>
    </xf>
    <xf numFmtId="0" fontId="220" fillId="0" borderId="1" xfId="1414" applyFont="1" applyFill="1" applyBorder="1" applyAlignment="1">
      <alignment horizontal="right"/>
    </xf>
    <xf numFmtId="2" fontId="220" fillId="0" borderId="1" xfId="1414" applyNumberFormat="1" applyFont="1" applyFill="1" applyBorder="1" applyAlignment="1"/>
    <xf numFmtId="2" fontId="220" fillId="0" borderId="1" xfId="1414" applyNumberFormat="1" applyFont="1" applyFill="1" applyBorder="1" applyAlignment="1">
      <alignment horizontal="right"/>
    </xf>
    <xf numFmtId="2" fontId="216" fillId="0" borderId="1" xfId="1414" applyNumberFormat="1" applyFont="1" applyFill="1" applyBorder="1" applyAlignment="1">
      <alignment horizontal="right"/>
    </xf>
    <xf numFmtId="1" fontId="216" fillId="0" borderId="1" xfId="1414" applyNumberFormat="1" applyFont="1" applyFill="1" applyBorder="1" applyAlignment="1">
      <alignment horizontal="right"/>
    </xf>
    <xf numFmtId="0" fontId="3" fillId="0" borderId="5" xfId="1414" applyFont="1" applyBorder="1"/>
    <xf numFmtId="179" fontId="3" fillId="0" borderId="5" xfId="1414" applyNumberFormat="1" applyFont="1" applyBorder="1"/>
    <xf numFmtId="0" fontId="3" fillId="0" borderId="1" xfId="1414" applyFont="1" applyFill="1" applyBorder="1" applyAlignment="1">
      <alignment horizontal="center"/>
    </xf>
    <xf numFmtId="0" fontId="3" fillId="0" borderId="1" xfId="1414" applyFont="1" applyFill="1" applyBorder="1"/>
    <xf numFmtId="2" fontId="3" fillId="0" borderId="1" xfId="1120" applyNumberFormat="1" applyFont="1" applyFill="1" applyBorder="1" applyAlignment="1">
      <alignment horizontal="center" vertical="center" wrapText="1"/>
    </xf>
    <xf numFmtId="0" fontId="3" fillId="0" borderId="1" xfId="1414" applyFont="1" applyFill="1" applyBorder="1" applyAlignment="1">
      <alignment horizontal="right"/>
    </xf>
    <xf numFmtId="4" fontId="75" fillId="0" borderId="1" xfId="1414" applyNumberFormat="1" applyFont="1" applyFill="1" applyBorder="1" applyAlignment="1">
      <alignment horizontal="center" vertical="center"/>
    </xf>
    <xf numFmtId="1" fontId="215" fillId="0" borderId="1" xfId="1547" applyNumberFormat="1" applyFont="1" applyFill="1" applyBorder="1" applyAlignment="1">
      <alignment horizontal="center" vertical="center"/>
    </xf>
    <xf numFmtId="2" fontId="215" fillId="0" borderId="1" xfId="1414" applyNumberFormat="1" applyFont="1" applyFill="1" applyBorder="1" applyAlignment="1">
      <alignment horizontal="left" vertical="center" wrapText="1"/>
    </xf>
    <xf numFmtId="2" fontId="215" fillId="0" borderId="1" xfId="1414" applyNumberFormat="1" applyFont="1" applyFill="1" applyBorder="1" applyAlignment="1">
      <alignment horizontal="center" vertical="center"/>
    </xf>
    <xf numFmtId="0" fontId="236" fillId="0" borderId="1" xfId="1414" applyFont="1" applyFill="1" applyBorder="1" applyAlignment="1">
      <alignment horizontal="center" vertical="center"/>
    </xf>
    <xf numFmtId="2" fontId="215" fillId="0" borderId="1" xfId="1545" applyNumberFormat="1" applyFont="1" applyFill="1" applyBorder="1" applyAlignment="1">
      <alignment horizontal="center" vertical="center" wrapText="1"/>
    </xf>
    <xf numFmtId="0" fontId="3" fillId="0" borderId="1" xfId="1545" applyFont="1" applyFill="1" applyBorder="1" applyAlignment="1">
      <alignment horizontal="center"/>
    </xf>
    <xf numFmtId="287" fontId="3" fillId="0" borderId="1" xfId="1102" applyNumberFormat="1" applyFont="1" applyFill="1" applyBorder="1"/>
    <xf numFmtId="2" fontId="3" fillId="0" borderId="1" xfId="1102" applyNumberFormat="1" applyFont="1" applyFill="1" applyBorder="1"/>
    <xf numFmtId="287" fontId="53" fillId="0" borderId="1" xfId="1102" applyNumberFormat="1" applyFont="1" applyFill="1" applyBorder="1"/>
    <xf numFmtId="0" fontId="42" fillId="0" borderId="1" xfId="1414" applyFont="1" applyFill="1" applyBorder="1" applyAlignment="1">
      <alignment horizontal="center"/>
    </xf>
    <xf numFmtId="0" fontId="42" fillId="0" borderId="1" xfId="1414" applyFont="1" applyFill="1" applyBorder="1"/>
    <xf numFmtId="179" fontId="3" fillId="0" borderId="1" xfId="1414" applyNumberFormat="1" applyFont="1" applyFill="1" applyBorder="1"/>
    <xf numFmtId="0" fontId="221" fillId="0" borderId="1" xfId="1414" applyFont="1" applyFill="1" applyBorder="1"/>
    <xf numFmtId="179" fontId="221" fillId="0" borderId="1" xfId="1414" applyNumberFormat="1" applyFont="1" applyFill="1" applyBorder="1"/>
    <xf numFmtId="0" fontId="221" fillId="0" borderId="1" xfId="1414" applyFont="1" applyFill="1" applyBorder="1" applyAlignment="1">
      <alignment horizontal="right"/>
    </xf>
    <xf numFmtId="289" fontId="221" fillId="0" borderId="1" xfId="1120" applyNumberFormat="1" applyFont="1" applyFill="1" applyBorder="1" applyAlignment="1">
      <alignment horizontal="right"/>
    </xf>
    <xf numFmtId="289" fontId="221" fillId="0" borderId="1" xfId="1414" applyNumberFormat="1" applyFont="1" applyFill="1" applyBorder="1" applyAlignment="1">
      <alignment horizontal="right"/>
    </xf>
    <xf numFmtId="2" fontId="26" fillId="0" borderId="1" xfId="1120" applyNumberFormat="1" applyFont="1" applyFill="1" applyBorder="1" applyAlignment="1">
      <alignment horizontal="center" vertical="center" wrapText="1"/>
    </xf>
    <xf numFmtId="0" fontId="26" fillId="0" borderId="1" xfId="1414" applyFont="1" applyFill="1" applyBorder="1" applyAlignment="1">
      <alignment horizontal="center"/>
    </xf>
    <xf numFmtId="179" fontId="221" fillId="0" borderId="1" xfId="1414" applyNumberFormat="1" applyFont="1" applyFill="1" applyBorder="1" applyAlignment="1">
      <alignment horizontal="right"/>
    </xf>
    <xf numFmtId="289" fontId="221" fillId="0" borderId="1" xfId="1414" applyNumberFormat="1" applyFont="1" applyFill="1" applyBorder="1" applyAlignment="1"/>
    <xf numFmtId="0" fontId="222" fillId="0" borderId="30" xfId="1438" applyFont="1" applyBorder="1" applyAlignment="1">
      <alignment horizontal="center" vertical="center" wrapText="1"/>
    </xf>
    <xf numFmtId="0" fontId="222" fillId="0" borderId="1" xfId="1438" applyFont="1" applyBorder="1" applyAlignment="1">
      <alignment horizontal="center" vertical="center" wrapText="1"/>
    </xf>
    <xf numFmtId="3" fontId="216" fillId="0" borderId="0" xfId="1414" applyNumberFormat="1" applyFont="1" applyFill="1" applyAlignment="1">
      <alignment horizontal="center"/>
    </xf>
    <xf numFmtId="9" fontId="75" fillId="0" borderId="1" xfId="1414" applyNumberFormat="1" applyFont="1" applyFill="1" applyBorder="1" applyAlignment="1">
      <alignment horizontal="center"/>
    </xf>
    <xf numFmtId="0" fontId="216" fillId="0" borderId="0" xfId="1414" applyFont="1" applyFill="1" applyAlignment="1">
      <alignment horizontal="center"/>
    </xf>
    <xf numFmtId="9" fontId="216" fillId="0" borderId="1" xfId="1414" applyNumberFormat="1" applyFont="1" applyFill="1" applyBorder="1" applyAlignment="1">
      <alignment horizontal="center"/>
    </xf>
    <xf numFmtId="4" fontId="75" fillId="0" borderId="1" xfId="1414" applyNumberFormat="1" applyFont="1" applyFill="1" applyBorder="1" applyAlignment="1">
      <alignment horizontal="center"/>
    </xf>
    <xf numFmtId="4" fontId="216" fillId="0" borderId="0" xfId="1414" applyNumberFormat="1" applyFont="1" applyFill="1" applyAlignment="1">
      <alignment horizontal="center"/>
    </xf>
    <xf numFmtId="0" fontId="3" fillId="0" borderId="0" xfId="1478" applyFont="1" applyAlignment="1">
      <alignment vertical="center" wrapText="1"/>
    </xf>
    <xf numFmtId="0" fontId="3" fillId="0" borderId="1" xfId="1478" applyFont="1" applyBorder="1" applyAlignment="1">
      <alignment horizontal="center" vertical="center" wrapText="1"/>
    </xf>
    <xf numFmtId="0" fontId="3" fillId="0" borderId="0" xfId="1478" applyFont="1" applyAlignment="1">
      <alignment horizontal="center" vertical="center" wrapText="1"/>
    </xf>
    <xf numFmtId="0" fontId="53" fillId="0" borderId="1" xfId="1478" applyFont="1" applyBorder="1" applyAlignment="1">
      <alignment horizontal="center" vertical="center" wrapText="1"/>
    </xf>
    <xf numFmtId="2" fontId="53" fillId="30" borderId="1" xfId="1478" applyNumberFormat="1" applyFont="1" applyFill="1" applyBorder="1" applyAlignment="1">
      <alignment horizontal="center" vertical="center" wrapText="1"/>
    </xf>
    <xf numFmtId="1" fontId="53" fillId="30" borderId="1" xfId="1478" applyNumberFormat="1" applyFont="1" applyFill="1" applyBorder="1" applyAlignment="1">
      <alignment horizontal="center" vertical="center" wrapText="1"/>
    </xf>
    <xf numFmtId="187" fontId="53" fillId="0" borderId="1" xfId="1478" applyNumberFormat="1" applyFont="1" applyBorder="1" applyAlignment="1">
      <alignment horizontal="center" vertical="center" wrapText="1"/>
    </xf>
    <xf numFmtId="2" fontId="53" fillId="0" borderId="0" xfId="1478" applyNumberFormat="1" applyFont="1" applyAlignment="1">
      <alignment vertical="center" wrapText="1"/>
    </xf>
    <xf numFmtId="0" fontId="53" fillId="0" borderId="0" xfId="1478" applyFont="1" applyAlignment="1">
      <alignment vertical="center" wrapText="1"/>
    </xf>
    <xf numFmtId="0" fontId="53" fillId="0" borderId="0" xfId="1478" applyFont="1" applyBorder="1" applyAlignment="1">
      <alignment horizontal="center" vertical="center" wrapText="1"/>
    </xf>
    <xf numFmtId="2" fontId="53" fillId="0" borderId="0" xfId="1478" applyNumberFormat="1" applyFont="1" applyBorder="1" applyAlignment="1">
      <alignment horizontal="center" vertical="center" wrapText="1"/>
    </xf>
    <xf numFmtId="2" fontId="3" fillId="0" borderId="0" xfId="1478" applyNumberFormat="1" applyFont="1" applyBorder="1" applyAlignment="1">
      <alignment horizontal="center" vertical="center" wrapText="1"/>
    </xf>
    <xf numFmtId="187" fontId="53" fillId="0" borderId="0" xfId="1478" applyNumberFormat="1" applyFont="1" applyBorder="1" applyAlignment="1">
      <alignment horizontal="center" vertical="center" wrapText="1"/>
    </xf>
    <xf numFmtId="0" fontId="3" fillId="0" borderId="0" xfId="1478" applyFont="1" applyAlignment="1">
      <alignment horizontal="left" vertical="center" wrapText="1"/>
    </xf>
    <xf numFmtId="0" fontId="3" fillId="0" borderId="0" xfId="1422" applyFont="1" applyFill="1"/>
    <xf numFmtId="0" fontId="53" fillId="0" borderId="1" xfId="1422" applyFont="1" applyFill="1" applyBorder="1" applyAlignment="1">
      <alignment horizontal="center" vertical="center" wrapText="1"/>
    </xf>
    <xf numFmtId="0" fontId="3" fillId="0" borderId="1" xfId="1422" applyFont="1" applyFill="1" applyBorder="1" applyAlignment="1">
      <alignment horizontal="center" vertical="center" wrapText="1"/>
    </xf>
    <xf numFmtId="0" fontId="53" fillId="0" borderId="1" xfId="1422" applyFont="1" applyFill="1" applyBorder="1" applyAlignment="1">
      <alignment horizontal="center" vertical="center" textRotation="90" wrapText="1"/>
    </xf>
    <xf numFmtId="1" fontId="53" fillId="0" borderId="1" xfId="1422"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1437" applyFont="1" applyFill="1" applyBorder="1" applyAlignment="1">
      <alignment horizontal="center" vertical="center" wrapText="1"/>
    </xf>
    <xf numFmtId="1" fontId="3" fillId="0" borderId="1" xfId="1437" applyNumberFormat="1" applyFont="1" applyFill="1" applyBorder="1" applyAlignment="1">
      <alignment horizontal="center" vertical="center" wrapText="1"/>
    </xf>
    <xf numFmtId="0" fontId="3" fillId="0" borderId="0" xfId="1528" applyFont="1" applyFill="1"/>
    <xf numFmtId="16" fontId="3" fillId="0" borderId="0" xfId="1528" applyNumberFormat="1" applyFont="1" applyFill="1"/>
    <xf numFmtId="0" fontId="3" fillId="0" borderId="0" xfId="1422" applyFont="1" applyFill="1" applyBorder="1"/>
    <xf numFmtId="0" fontId="3" fillId="0" borderId="1" xfId="0" applyFont="1" applyFill="1" applyBorder="1" applyAlignment="1">
      <alignment horizontal="center" vertical="center" wrapText="1"/>
    </xf>
    <xf numFmtId="0" fontId="3" fillId="0" borderId="1" xfId="1422" applyFont="1" applyFill="1" applyBorder="1" applyAlignment="1">
      <alignment horizontal="left" vertical="center" wrapText="1"/>
    </xf>
    <xf numFmtId="9" fontId="3" fillId="0" borderId="1" xfId="1422" applyNumberFormat="1" applyFont="1" applyFill="1" applyBorder="1" applyAlignment="1">
      <alignment horizontal="center" vertical="center" wrapText="1"/>
    </xf>
    <xf numFmtId="0" fontId="53" fillId="0" borderId="0" xfId="1422" applyFont="1" applyFill="1" applyBorder="1"/>
    <xf numFmtId="0" fontId="3" fillId="0" borderId="1" xfId="1458" applyFont="1" applyFill="1" applyBorder="1" applyAlignment="1">
      <alignment horizontal="center" vertical="center" wrapText="1"/>
    </xf>
    <xf numFmtId="0" fontId="3" fillId="0" borderId="1" xfId="1550" applyFont="1" applyFill="1" applyBorder="1" applyAlignment="1">
      <alignment horizontal="left" vertical="center" wrapText="1"/>
    </xf>
    <xf numFmtId="0" fontId="3" fillId="0" borderId="1" xfId="1552" applyFont="1" applyFill="1" applyBorder="1" applyAlignment="1">
      <alignment horizontal="center" vertical="center" wrapText="1"/>
    </xf>
    <xf numFmtId="188" fontId="3" fillId="0" borderId="1" xfId="1552" applyNumberFormat="1" applyFont="1" applyFill="1" applyBorder="1" applyAlignment="1">
      <alignment horizontal="center" vertical="center" wrapText="1"/>
    </xf>
    <xf numFmtId="9" fontId="3" fillId="0" borderId="1" xfId="1552" applyNumberFormat="1" applyFont="1" applyFill="1" applyBorder="1" applyAlignment="1">
      <alignment horizontal="center" vertical="center" wrapText="1"/>
    </xf>
    <xf numFmtId="10" fontId="3" fillId="0" borderId="1" xfId="1552" applyNumberFormat="1" applyFont="1" applyFill="1" applyBorder="1" applyAlignment="1">
      <alignment horizontal="center" vertical="center" wrapText="1"/>
    </xf>
    <xf numFmtId="9" fontId="3" fillId="0" borderId="1" xfId="1581" applyFont="1" applyFill="1" applyBorder="1" applyAlignment="1">
      <alignment horizontal="center" vertical="center" wrapText="1"/>
    </xf>
    <xf numFmtId="10" fontId="3" fillId="0" borderId="1" xfId="1437"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10" fontId="3" fillId="0" borderId="1" xfId="1581" applyNumberFormat="1" applyFont="1" applyFill="1" applyBorder="1" applyAlignment="1">
      <alignment horizontal="center" vertical="center" wrapText="1"/>
    </xf>
    <xf numFmtId="9" fontId="3" fillId="0" borderId="1" xfId="1581" applyFont="1" applyFill="1" applyBorder="1" applyAlignment="1">
      <alignment horizontal="left" vertical="center" wrapText="1"/>
    </xf>
    <xf numFmtId="188" fontId="3" fillId="0" borderId="1" xfId="1581" applyNumberFormat="1" applyFont="1" applyFill="1" applyBorder="1" applyAlignment="1">
      <alignment horizontal="center" vertical="center" wrapText="1"/>
    </xf>
    <xf numFmtId="0" fontId="3" fillId="0" borderId="1" xfId="1422" applyFont="1" applyFill="1" applyBorder="1" applyAlignment="1">
      <alignment horizontal="center" vertical="center"/>
    </xf>
    <xf numFmtId="186" fontId="3" fillId="0" borderId="1" xfId="1422" applyNumberFormat="1" applyFont="1" applyFill="1" applyBorder="1" applyAlignment="1">
      <alignment horizontal="left" vertical="center" wrapText="1"/>
    </xf>
    <xf numFmtId="1" fontId="3" fillId="0" borderId="1" xfId="1548"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1583" applyFont="1" applyFill="1" applyBorder="1" applyAlignment="1">
      <alignment horizontal="center" vertical="center" wrapText="1"/>
    </xf>
    <xf numFmtId="49" fontId="3" fillId="0" borderId="1" xfId="1422" applyNumberFormat="1" applyFont="1" applyFill="1" applyBorder="1" applyAlignment="1">
      <alignment horizontal="center" vertical="center" wrapText="1"/>
    </xf>
    <xf numFmtId="49" fontId="3" fillId="0" borderId="1" xfId="1422" applyNumberFormat="1" applyFont="1" applyFill="1" applyBorder="1" applyAlignment="1">
      <alignment horizontal="left" vertical="center" wrapText="1"/>
    </xf>
    <xf numFmtId="186" fontId="3" fillId="0" borderId="1" xfId="1422" applyNumberFormat="1" applyFont="1" applyFill="1" applyBorder="1" applyAlignment="1">
      <alignment vertical="top" wrapText="1"/>
    </xf>
    <xf numFmtId="0" fontId="3" fillId="0" borderId="1" xfId="1422" applyNumberFormat="1"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49" fontId="3" fillId="0" borderId="1" xfId="1583" applyNumberFormat="1" applyFont="1" applyFill="1" applyBorder="1" applyAlignment="1">
      <alignment horizontal="center" vertical="center" wrapText="1"/>
    </xf>
    <xf numFmtId="188" fontId="3" fillId="0" borderId="1" xfId="0" applyNumberFormat="1" applyFont="1" applyFill="1" applyBorder="1" applyAlignment="1">
      <alignment horizontal="center" vertical="center" wrapText="1"/>
    </xf>
    <xf numFmtId="1" fontId="3" fillId="0" borderId="1" xfId="1422"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1550" applyFont="1" applyFill="1" applyBorder="1" applyAlignment="1">
      <alignment horizontal="center" vertical="center"/>
    </xf>
    <xf numFmtId="0" fontId="3" fillId="0" borderId="1" xfId="1470" applyFont="1" applyFill="1" applyBorder="1" applyAlignment="1">
      <alignment vertical="center"/>
    </xf>
    <xf numFmtId="1" fontId="3" fillId="0" borderId="1" xfId="0" applyNumberFormat="1" applyFont="1" applyFill="1" applyBorder="1" applyAlignment="1">
      <alignment horizontal="center" vertical="center"/>
    </xf>
    <xf numFmtId="1" fontId="3" fillId="0" borderId="1" xfId="1422" applyNumberFormat="1" applyFont="1" applyFill="1" applyBorder="1" applyAlignment="1">
      <alignment horizontal="center" vertical="center"/>
    </xf>
    <xf numFmtId="0" fontId="53" fillId="0" borderId="1" xfId="1437" applyFont="1" applyFill="1" applyBorder="1" applyAlignment="1">
      <alignment horizontal="center" vertical="center"/>
    </xf>
    <xf numFmtId="0" fontId="3" fillId="0" borderId="0" xfId="1458" applyFont="1" applyFill="1"/>
    <xf numFmtId="0" fontId="3" fillId="0" borderId="0" xfId="1458" applyFont="1" applyFill="1" applyBorder="1"/>
    <xf numFmtId="0" fontId="3" fillId="0" borderId="1" xfId="1470" applyFont="1" applyFill="1" applyBorder="1" applyAlignment="1">
      <alignment horizontal="left" vertical="center" wrapText="1"/>
    </xf>
    <xf numFmtId="0" fontId="3" fillId="0" borderId="1" xfId="1470" applyFont="1" applyFill="1" applyBorder="1" applyAlignment="1">
      <alignment horizontal="left" vertical="center"/>
    </xf>
    <xf numFmtId="0" fontId="53" fillId="0" borderId="0" xfId="1458" applyFont="1" applyFill="1" applyBorder="1"/>
    <xf numFmtId="0" fontId="3" fillId="0" borderId="1" xfId="155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1552" applyFont="1" applyFill="1" applyBorder="1" applyAlignment="1">
      <alignment horizontal="center" vertical="center"/>
    </xf>
    <xf numFmtId="0" fontId="3" fillId="0" borderId="1" xfId="1422" applyNumberFormat="1" applyFont="1" applyFill="1" applyBorder="1" applyAlignment="1" applyProtection="1">
      <alignment horizontal="left" vertical="center" wrapText="1"/>
    </xf>
    <xf numFmtId="0" fontId="3" fillId="0" borderId="1" xfId="1422" applyNumberFormat="1" applyFont="1" applyFill="1" applyBorder="1" applyAlignment="1" applyProtection="1">
      <alignment horizontal="center" vertical="center" wrapText="1"/>
    </xf>
    <xf numFmtId="49" fontId="3" fillId="0" borderId="1" xfId="1422" applyNumberFormat="1" applyFont="1" applyFill="1" applyBorder="1" applyAlignment="1" applyProtection="1">
      <alignment horizontal="center" vertical="center" wrapText="1"/>
    </xf>
    <xf numFmtId="1" fontId="3" fillId="0" borderId="1" xfId="1422" applyNumberFormat="1" applyFont="1" applyFill="1" applyBorder="1" applyAlignment="1" applyProtection="1">
      <alignment horizontal="center" vertical="center" wrapText="1"/>
    </xf>
    <xf numFmtId="0" fontId="3" fillId="0" borderId="28" xfId="1549" applyFont="1" applyFill="1" applyBorder="1" applyAlignment="1">
      <alignment horizontal="center" vertical="center"/>
    </xf>
    <xf numFmtId="0" fontId="3" fillId="0" borderId="1" xfId="1549" applyFont="1" applyFill="1" applyBorder="1" applyAlignment="1">
      <alignment horizontal="center" vertical="center"/>
    </xf>
    <xf numFmtId="2" fontId="3" fillId="0" borderId="1" xfId="1549" applyNumberFormat="1" applyFont="1" applyFill="1" applyBorder="1" applyAlignment="1">
      <alignment horizontal="center" vertical="center"/>
    </xf>
    <xf numFmtId="1" fontId="3" fillId="0" borderId="1" xfId="1549" applyNumberFormat="1" applyFont="1" applyFill="1" applyBorder="1" applyAlignment="1">
      <alignment horizontal="center" vertical="center"/>
    </xf>
    <xf numFmtId="0" fontId="3" fillId="0" borderId="1" xfId="1551" applyFont="1" applyFill="1" applyBorder="1" applyAlignment="1">
      <alignment horizontal="center" vertical="center"/>
    </xf>
    <xf numFmtId="0" fontId="3" fillId="0" borderId="1" xfId="1549" applyFont="1" applyFill="1" applyBorder="1" applyAlignment="1">
      <alignment horizontal="left" vertical="center" wrapText="1"/>
    </xf>
    <xf numFmtId="0" fontId="3" fillId="0" borderId="1" xfId="0" applyFont="1" applyFill="1" applyBorder="1" applyAlignment="1">
      <alignment vertical="center"/>
    </xf>
    <xf numFmtId="0" fontId="3" fillId="0" borderId="1" xfId="1422" applyFont="1" applyFill="1" applyBorder="1" applyAlignment="1">
      <alignment horizontal="left" vertical="center"/>
    </xf>
    <xf numFmtId="0" fontId="5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9" fontId="3" fillId="0" borderId="1" xfId="1590" applyFont="1" applyFill="1" applyBorder="1" applyAlignment="1">
      <alignment horizontal="center" vertical="center" wrapText="1"/>
    </xf>
    <xf numFmtId="188"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1" fontId="53" fillId="0" borderId="1" xfId="1422" applyNumberFormat="1" applyFont="1" applyFill="1" applyBorder="1" applyAlignment="1">
      <alignment horizontal="center" vertical="center"/>
    </xf>
    <xf numFmtId="3" fontId="53" fillId="0" borderId="1" xfId="1422" applyNumberFormat="1" applyFont="1" applyFill="1" applyBorder="1" applyAlignment="1">
      <alignment horizontal="center" vertical="center"/>
    </xf>
    <xf numFmtId="0" fontId="3" fillId="0" borderId="0" xfId="1422" applyFont="1" applyFill="1" applyAlignment="1">
      <alignment horizontal="center"/>
    </xf>
    <xf numFmtId="0" fontId="53" fillId="0" borderId="0" xfId="1422" applyFont="1" applyFill="1" applyAlignment="1">
      <alignment horizontal="center"/>
    </xf>
    <xf numFmtId="3" fontId="53" fillId="0" borderId="0" xfId="1422" applyNumberFormat="1" applyFont="1" applyFill="1" applyAlignment="1">
      <alignment horizontal="center"/>
    </xf>
    <xf numFmtId="0" fontId="3" fillId="0" borderId="0" xfId="1422" applyFont="1" applyFill="1" applyAlignment="1">
      <alignment vertical="center" wrapText="1"/>
    </xf>
    <xf numFmtId="0" fontId="3" fillId="50" borderId="1" xfId="1422" applyFont="1" applyFill="1" applyBorder="1" applyAlignment="1">
      <alignment horizontal="center" vertical="center" wrapText="1"/>
    </xf>
    <xf numFmtId="0" fontId="53" fillId="50" borderId="1" xfId="1422" applyFont="1" applyFill="1" applyBorder="1" applyAlignment="1">
      <alignment horizontal="center" vertical="center" textRotation="90" wrapText="1"/>
    </xf>
    <xf numFmtId="0" fontId="53" fillId="50" borderId="1" xfId="1422" applyFont="1" applyFill="1" applyBorder="1" applyAlignment="1">
      <alignment horizontal="center" vertical="center" wrapText="1"/>
    </xf>
    <xf numFmtId="0" fontId="53" fillId="50" borderId="1" xfId="1437" applyFont="1" applyFill="1" applyBorder="1" applyAlignment="1">
      <alignment horizontal="center" vertical="center" wrapText="1"/>
    </xf>
    <xf numFmtId="0" fontId="53" fillId="0" borderId="0" xfId="1422" applyFont="1" applyFill="1" applyBorder="1" applyAlignment="1">
      <alignment vertical="center" wrapText="1"/>
    </xf>
    <xf numFmtId="0" fontId="3" fillId="50" borderId="1" xfId="1458" applyFont="1" applyFill="1" applyBorder="1" applyAlignment="1">
      <alignment horizontal="center" vertical="center" wrapText="1"/>
    </xf>
    <xf numFmtId="0" fontId="3" fillId="0" borderId="0" xfId="1422" applyFont="1" applyFill="1" applyBorder="1" applyAlignment="1">
      <alignment vertical="center" wrapText="1"/>
    </xf>
    <xf numFmtId="0" fontId="216" fillId="0" borderId="1" xfId="1422" applyFont="1" applyFill="1" applyBorder="1" applyAlignment="1">
      <alignment horizontal="left" vertical="center" wrapText="1"/>
    </xf>
    <xf numFmtId="0" fontId="3" fillId="50" borderId="1" xfId="1549" applyFont="1" applyFill="1" applyBorder="1" applyAlignment="1">
      <alignment horizontal="center" vertical="center" wrapText="1"/>
    </xf>
    <xf numFmtId="0" fontId="3" fillId="0" borderId="1" xfId="0" applyFont="1" applyBorder="1" applyAlignment="1">
      <alignment horizontal="center"/>
    </xf>
    <xf numFmtId="0" fontId="53" fillId="0" borderId="1" xfId="1422" applyFont="1" applyFill="1" applyBorder="1" applyAlignment="1">
      <alignment horizontal="center"/>
    </xf>
    <xf numFmtId="0" fontId="3" fillId="0" borderId="1" xfId="1422" applyFont="1" applyFill="1" applyBorder="1" applyAlignment="1">
      <alignment horizontal="center"/>
    </xf>
    <xf numFmtId="0" fontId="75" fillId="0" borderId="1" xfId="1422" applyFont="1" applyFill="1" applyBorder="1" applyAlignment="1">
      <alignment horizontal="center" vertical="center" wrapText="1"/>
    </xf>
    <xf numFmtId="0" fontId="75" fillId="0" borderId="1" xfId="1437" applyFont="1" applyFill="1" applyBorder="1" applyAlignment="1">
      <alignment horizontal="center" vertical="center" wrapText="1"/>
    </xf>
    <xf numFmtId="0" fontId="216" fillId="0" borderId="0" xfId="1422" applyFont="1" applyFill="1" applyBorder="1"/>
    <xf numFmtId="0" fontId="75" fillId="0" borderId="0" xfId="1422" applyFont="1" applyFill="1" applyBorder="1"/>
    <xf numFmtId="1" fontId="75" fillId="0" borderId="1" xfId="1437" applyNumberFormat="1" applyFont="1" applyFill="1" applyBorder="1" applyAlignment="1">
      <alignment horizontal="center" vertical="center" wrapText="1"/>
    </xf>
    <xf numFmtId="0" fontId="216" fillId="0" borderId="0" xfId="1422" applyFont="1" applyFill="1"/>
    <xf numFmtId="0" fontId="216" fillId="0" borderId="0" xfId="1458" applyFont="1" applyFill="1" applyBorder="1"/>
    <xf numFmtId="0" fontId="3" fillId="0" borderId="1" xfId="1549" applyFont="1" applyFill="1" applyBorder="1" applyAlignment="1">
      <alignment horizontal="center" vertical="center" wrapText="1"/>
    </xf>
    <xf numFmtId="0" fontId="3" fillId="0" borderId="1" xfId="1551" applyNumberFormat="1" applyFont="1" applyFill="1" applyBorder="1" applyAlignment="1">
      <alignment horizontal="center" vertical="center"/>
    </xf>
    <xf numFmtId="0" fontId="3" fillId="50" borderId="1" xfId="0" applyFont="1" applyFill="1" applyBorder="1" applyAlignment="1">
      <alignment horizontal="center" vertical="center"/>
    </xf>
    <xf numFmtId="0" fontId="3" fillId="30" borderId="9" xfId="1549" applyFont="1" applyFill="1" applyBorder="1" applyAlignment="1">
      <alignment horizontal="left" vertical="center" wrapText="1"/>
    </xf>
    <xf numFmtId="0" fontId="3" fillId="0" borderId="28" xfId="1551" applyFont="1" applyBorder="1" applyAlignment="1">
      <alignment horizontal="center" vertical="center"/>
    </xf>
    <xf numFmtId="0" fontId="3" fillId="30" borderId="28" xfId="1549" applyFont="1" applyFill="1" applyBorder="1" applyAlignment="1">
      <alignment horizontal="center" vertical="center"/>
    </xf>
    <xf numFmtId="0" fontId="3" fillId="30" borderId="1" xfId="1549" applyFont="1" applyFill="1" applyBorder="1" applyAlignment="1">
      <alignment horizontal="left" vertical="center" wrapText="1"/>
    </xf>
    <xf numFmtId="0" fontId="3" fillId="30" borderId="1" xfId="1549"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179" fontId="263" fillId="0" borderId="1" xfId="1482" applyNumberFormat="1" applyFont="1" applyFill="1" applyBorder="1" applyAlignment="1">
      <alignment vertical="center" wrapText="1"/>
    </xf>
    <xf numFmtId="0" fontId="3" fillId="0" borderId="1" xfId="1478" applyFont="1" applyBorder="1" applyAlignment="1">
      <alignment vertical="center" wrapText="1"/>
    </xf>
    <xf numFmtId="1" fontId="3" fillId="0" borderId="1" xfId="1478" applyNumberFormat="1" applyFont="1" applyBorder="1" applyAlignment="1">
      <alignment horizontal="center" vertical="center" wrapText="1"/>
    </xf>
    <xf numFmtId="2" fontId="3" fillId="30" borderId="1" xfId="1478" applyNumberFormat="1" applyFont="1" applyFill="1" applyBorder="1" applyAlignment="1">
      <alignment horizontal="center" vertical="center" wrapText="1"/>
    </xf>
    <xf numFmtId="1" fontId="3" fillId="30" borderId="1" xfId="1478" applyNumberFormat="1" applyFont="1" applyFill="1" applyBorder="1" applyAlignment="1">
      <alignment horizontal="center" vertical="center" wrapText="1"/>
    </xf>
    <xf numFmtId="0" fontId="3" fillId="30" borderId="1" xfId="1478" applyFont="1" applyFill="1" applyBorder="1" applyAlignment="1">
      <alignment horizontal="center" vertical="center" wrapText="1"/>
    </xf>
    <xf numFmtId="187" fontId="3" fillId="0" borderId="1" xfId="1478" applyNumberFormat="1" applyFont="1" applyBorder="1" applyAlignment="1">
      <alignment horizontal="center" vertical="center" wrapText="1"/>
    </xf>
    <xf numFmtId="0" fontId="3" fillId="0" borderId="1" xfId="1478" applyFont="1" applyFill="1" applyBorder="1" applyAlignment="1">
      <alignment horizontal="center" vertical="center" wrapText="1"/>
    </xf>
    <xf numFmtId="0" fontId="3" fillId="0" borderId="1" xfId="1478" applyFont="1" applyFill="1" applyBorder="1" applyAlignment="1">
      <alignment vertical="center" wrapText="1"/>
    </xf>
    <xf numFmtId="1" fontId="3" fillId="0" borderId="1" xfId="1478" applyNumberFormat="1" applyFont="1" applyFill="1" applyBorder="1" applyAlignment="1">
      <alignment horizontal="center" vertical="center" wrapText="1"/>
    </xf>
    <xf numFmtId="2" fontId="3" fillId="0" borderId="1" xfId="1478" applyNumberFormat="1" applyFont="1" applyFill="1" applyBorder="1" applyAlignment="1">
      <alignment horizontal="center" vertical="center" wrapText="1"/>
    </xf>
    <xf numFmtId="187" fontId="3" fillId="0" borderId="1" xfId="1478" applyNumberFormat="1" applyFont="1" applyFill="1" applyBorder="1" applyAlignment="1">
      <alignment horizontal="center" vertical="center" wrapText="1"/>
    </xf>
    <xf numFmtId="0" fontId="3" fillId="0" borderId="0" xfId="1478" applyFont="1" applyFill="1" applyAlignment="1">
      <alignment vertical="center" wrapText="1"/>
    </xf>
    <xf numFmtId="0" fontId="216" fillId="0" borderId="1" xfId="1478" applyFont="1" applyBorder="1" applyAlignment="1">
      <alignment horizontal="center" vertical="center" wrapText="1"/>
    </xf>
    <xf numFmtId="0" fontId="3" fillId="50" borderId="0" xfId="1478" applyFont="1" applyFill="1" applyAlignment="1">
      <alignment vertical="center" wrapText="1"/>
    </xf>
    <xf numFmtId="0" fontId="252" fillId="50" borderId="1" xfId="1509" applyFont="1" applyFill="1" applyBorder="1" applyAlignment="1">
      <alignment horizontal="center" vertical="center" wrapText="1"/>
    </xf>
    <xf numFmtId="284" fontId="255" fillId="50" borderId="13" xfId="1550" applyNumberFormat="1" applyFont="1" applyFill="1" applyBorder="1" applyAlignment="1">
      <alignment vertical="center" wrapText="1"/>
    </xf>
    <xf numFmtId="284" fontId="250" fillId="50" borderId="46" xfId="1509" applyNumberFormat="1" applyFont="1" applyFill="1" applyBorder="1" applyAlignment="1">
      <alignment horizontal="center" vertical="center" wrapText="1"/>
    </xf>
    <xf numFmtId="284" fontId="240" fillId="0" borderId="0" xfId="1509" applyNumberFormat="1" applyFont="1" applyAlignment="1">
      <alignment vertical="center" wrapText="1"/>
    </xf>
    <xf numFmtId="284" fontId="244" fillId="0" borderId="0" xfId="1509" applyNumberFormat="1" applyFont="1" applyAlignment="1">
      <alignment vertical="center" wrapText="1"/>
    </xf>
    <xf numFmtId="284" fontId="251" fillId="50" borderId="1" xfId="1550" applyNumberFormat="1" applyFont="1" applyFill="1" applyBorder="1" applyAlignment="1">
      <alignment vertical="center" wrapText="1"/>
    </xf>
    <xf numFmtId="284" fontId="252" fillId="50" borderId="43" xfId="1509" applyNumberFormat="1" applyFont="1" applyFill="1" applyBorder="1" applyAlignment="1">
      <alignment horizontal="center" vertical="center" wrapText="1"/>
    </xf>
    <xf numFmtId="284" fontId="218" fillId="50" borderId="43" xfId="1191" applyNumberFormat="1" applyFont="1" applyFill="1" applyBorder="1" applyAlignment="1">
      <alignment horizontal="right" vertical="center" wrapText="1"/>
    </xf>
    <xf numFmtId="1" fontId="237" fillId="50" borderId="1" xfId="1460" applyNumberFormat="1" applyFont="1" applyFill="1" applyBorder="1" applyAlignment="1">
      <alignment horizontal="right" vertical="center" wrapText="1"/>
    </xf>
    <xf numFmtId="3" fontId="237" fillId="50" borderId="1" xfId="0" applyNumberFormat="1" applyFont="1" applyFill="1" applyBorder="1" applyAlignment="1">
      <alignment horizontal="right" vertical="center"/>
    </xf>
    <xf numFmtId="0" fontId="237" fillId="50" borderId="1" xfId="1460" applyNumberFormat="1" applyFont="1" applyFill="1" applyBorder="1" applyAlignment="1">
      <alignment horizontal="right" vertical="center"/>
    </xf>
    <xf numFmtId="0" fontId="252" fillId="0" borderId="0" xfId="1467" applyFont="1" applyFill="1" applyAlignment="1">
      <alignment horizontal="center" vertical="center" wrapText="1"/>
    </xf>
    <xf numFmtId="4" fontId="218" fillId="50" borderId="1" xfId="1482" applyNumberFormat="1" applyFont="1" applyFill="1" applyBorder="1" applyAlignment="1">
      <alignment horizontal="center" vertical="center" wrapText="1"/>
    </xf>
    <xf numFmtId="4" fontId="218" fillId="50" borderId="9" xfId="1482" applyNumberFormat="1" applyFont="1" applyFill="1" applyBorder="1" applyAlignment="1">
      <alignment horizontal="center" vertical="center" wrapText="1"/>
    </xf>
    <xf numFmtId="4" fontId="218" fillId="50" borderId="30" xfId="1482" applyNumberFormat="1" applyFont="1" applyFill="1" applyBorder="1" applyAlignment="1">
      <alignment horizontal="center" vertical="center" wrapText="1"/>
    </xf>
    <xf numFmtId="4" fontId="218" fillId="50" borderId="13" xfId="1482" applyNumberFormat="1" applyFont="1" applyFill="1" applyBorder="1" applyAlignment="1">
      <alignment horizontal="center" vertical="center" wrapText="1"/>
    </xf>
    <xf numFmtId="0" fontId="218" fillId="50" borderId="24" xfId="1482" applyFont="1" applyFill="1" applyBorder="1" applyAlignment="1">
      <alignment horizontal="center" vertical="center"/>
    </xf>
    <xf numFmtId="0" fontId="218" fillId="50" borderId="22" xfId="1482" applyFont="1" applyFill="1" applyBorder="1" applyAlignment="1">
      <alignment horizontal="center" vertical="center"/>
    </xf>
    <xf numFmtId="0" fontId="218" fillId="50" borderId="43" xfId="1482" applyFont="1" applyFill="1" applyBorder="1" applyAlignment="1">
      <alignment horizontal="center" vertical="center"/>
    </xf>
    <xf numFmtId="0" fontId="218" fillId="0" borderId="1" xfId="1482" applyFont="1" applyFill="1" applyBorder="1" applyAlignment="1">
      <alignment horizontal="center" vertical="center" wrapText="1"/>
    </xf>
    <xf numFmtId="0" fontId="252" fillId="0" borderId="1" xfId="1482" applyFont="1" applyFill="1" applyBorder="1" applyAlignment="1">
      <alignment horizontal="center" vertical="center" wrapText="1"/>
    </xf>
    <xf numFmtId="0" fontId="218" fillId="50" borderId="24" xfId="1482" applyFont="1" applyFill="1" applyBorder="1" applyAlignment="1">
      <alignment horizontal="center" vertical="center" wrapText="1"/>
    </xf>
    <xf numFmtId="0" fontId="218" fillId="50" borderId="43" xfId="1482" applyFont="1" applyFill="1" applyBorder="1" applyAlignment="1">
      <alignment horizontal="center" vertical="center" wrapText="1"/>
    </xf>
    <xf numFmtId="0" fontId="251" fillId="50" borderId="44" xfId="1482" applyFont="1" applyFill="1" applyBorder="1" applyAlignment="1">
      <alignment horizontal="left" vertical="center" wrapText="1"/>
    </xf>
    <xf numFmtId="0" fontId="237" fillId="50" borderId="24" xfId="1482" applyFont="1" applyFill="1" applyBorder="1" applyAlignment="1">
      <alignment horizontal="center" vertical="center" wrapText="1"/>
    </xf>
    <xf numFmtId="0" fontId="237" fillId="50" borderId="22" xfId="1482" applyFont="1" applyFill="1" applyBorder="1" applyAlignment="1">
      <alignment horizontal="center" vertical="center" wrapText="1"/>
    </xf>
    <xf numFmtId="0" fontId="237" fillId="50" borderId="43" xfId="1482" applyFont="1" applyFill="1" applyBorder="1" applyAlignment="1">
      <alignment horizontal="center" vertical="center" wrapText="1"/>
    </xf>
    <xf numFmtId="0" fontId="218" fillId="50" borderId="9" xfId="1482" applyFont="1" applyFill="1" applyBorder="1" applyAlignment="1">
      <alignment horizontal="center" vertical="center" wrapText="1"/>
    </xf>
    <xf numFmtId="0" fontId="218" fillId="50" borderId="13" xfId="1482" applyFont="1" applyFill="1" applyBorder="1" applyAlignment="1">
      <alignment horizontal="center" vertical="center" wrapText="1"/>
    </xf>
    <xf numFmtId="0" fontId="238" fillId="50" borderId="1" xfId="0" applyFont="1" applyFill="1" applyBorder="1" applyAlignment="1">
      <alignment horizontal="center" vertical="center" wrapText="1"/>
    </xf>
    <xf numFmtId="0" fontId="250" fillId="50" borderId="24" xfId="1509" applyFont="1" applyFill="1" applyBorder="1" applyAlignment="1">
      <alignment horizontal="center" vertical="center" wrapText="1"/>
    </xf>
    <xf numFmtId="0" fontId="250" fillId="50" borderId="43" xfId="1509" applyFont="1" applyFill="1" applyBorder="1" applyAlignment="1">
      <alignment horizontal="center" vertical="center" wrapText="1"/>
    </xf>
    <xf numFmtId="0" fontId="264" fillId="0" borderId="0" xfId="1419" applyFont="1" applyFill="1" applyAlignment="1">
      <alignment horizontal="left" vertical="center" wrapText="1"/>
    </xf>
    <xf numFmtId="0" fontId="264" fillId="0" borderId="0" xfId="1419" quotePrefix="1" applyFont="1" applyFill="1" applyAlignment="1">
      <alignment horizontal="left" vertical="center" wrapText="1"/>
    </xf>
    <xf numFmtId="0" fontId="250" fillId="0" borderId="45" xfId="1509" applyFont="1" applyBorder="1" applyAlignment="1">
      <alignment horizontal="center" vertical="center" wrapText="1"/>
    </xf>
    <xf numFmtId="0" fontId="250" fillId="0" borderId="1" xfId="1509" applyFont="1" applyBorder="1" applyAlignment="1">
      <alignment horizontal="center" vertical="center" wrapText="1"/>
    </xf>
    <xf numFmtId="0" fontId="250" fillId="50" borderId="24" xfId="1510" applyFont="1" applyFill="1" applyBorder="1" applyAlignment="1">
      <alignment horizontal="center" vertical="center" wrapText="1"/>
    </xf>
    <xf numFmtId="0" fontId="250" fillId="50" borderId="22" xfId="1510" applyFont="1" applyFill="1" applyBorder="1" applyAlignment="1">
      <alignment horizontal="center" vertical="center" wrapText="1"/>
    </xf>
    <xf numFmtId="0" fontId="250" fillId="50" borderId="43" xfId="1510" applyFont="1" applyFill="1" applyBorder="1" applyAlignment="1">
      <alignment horizontal="center" vertical="center" wrapText="1"/>
    </xf>
    <xf numFmtId="0" fontId="250" fillId="0" borderId="24" xfId="1509" applyFont="1" applyBorder="1" applyAlignment="1">
      <alignment horizontal="center" vertical="center" wrapText="1"/>
    </xf>
    <xf numFmtId="0" fontId="250" fillId="0" borderId="43" xfId="1509" applyFont="1" applyBorder="1" applyAlignment="1">
      <alignment horizontal="center" vertical="center" wrapText="1"/>
    </xf>
    <xf numFmtId="0" fontId="250" fillId="0" borderId="9" xfId="1509" applyFont="1" applyBorder="1" applyAlignment="1">
      <alignment horizontal="center" vertical="center" wrapText="1"/>
    </xf>
    <xf numFmtId="0" fontId="250" fillId="0" borderId="13" xfId="1509" applyFont="1" applyBorder="1" applyAlignment="1">
      <alignment horizontal="center" vertical="center" wrapText="1"/>
    </xf>
    <xf numFmtId="0" fontId="252" fillId="50" borderId="24" xfId="1509" applyFont="1" applyFill="1" applyBorder="1" applyAlignment="1">
      <alignment horizontal="center" vertical="center" wrapText="1"/>
    </xf>
    <xf numFmtId="0" fontId="252" fillId="50" borderId="43" xfId="1509" applyFont="1" applyFill="1" applyBorder="1" applyAlignment="1">
      <alignment horizontal="center" vertical="center" wrapText="1"/>
    </xf>
    <xf numFmtId="0" fontId="265" fillId="50" borderId="0" xfId="1419" applyFont="1" applyFill="1" applyAlignment="1">
      <alignment horizontal="left" vertical="center" wrapText="1"/>
    </xf>
    <xf numFmtId="0" fontId="265" fillId="50" borderId="0" xfId="1419" quotePrefix="1" applyFont="1" applyFill="1" applyAlignment="1">
      <alignment horizontal="left" vertical="center" wrapText="1"/>
    </xf>
    <xf numFmtId="0" fontId="250" fillId="50" borderId="45" xfId="1509" applyFont="1" applyFill="1" applyBorder="1" applyAlignment="1">
      <alignment horizontal="center" vertical="center" wrapText="1"/>
    </xf>
    <xf numFmtId="0" fontId="252" fillId="50" borderId="1" xfId="1509" applyFont="1" applyFill="1" applyBorder="1" applyAlignment="1">
      <alignment horizontal="center" vertical="center" wrapText="1"/>
    </xf>
    <xf numFmtId="0" fontId="252" fillId="50" borderId="1" xfId="1510" applyFont="1" applyFill="1" applyBorder="1" applyAlignment="1">
      <alignment horizontal="center" vertical="center" wrapText="1"/>
    </xf>
    <xf numFmtId="0" fontId="252" fillId="0" borderId="9" xfId="1509" applyFont="1" applyBorder="1" applyAlignment="1">
      <alignment horizontal="center" vertical="center" wrapText="1"/>
    </xf>
    <xf numFmtId="0" fontId="252" fillId="0" borderId="13" xfId="1509" applyFont="1" applyBorder="1" applyAlignment="1">
      <alignment horizontal="center" vertical="center" wrapText="1"/>
    </xf>
    <xf numFmtId="0" fontId="252" fillId="50" borderId="9" xfId="1509" applyFont="1" applyFill="1" applyBorder="1" applyAlignment="1">
      <alignment horizontal="center" vertical="center" wrapText="1"/>
    </xf>
    <xf numFmtId="0" fontId="252" fillId="50" borderId="13" xfId="1509" applyFont="1" applyFill="1" applyBorder="1" applyAlignment="1">
      <alignment horizontal="center" vertical="center" wrapText="1"/>
    </xf>
    <xf numFmtId="0" fontId="265" fillId="50" borderId="44" xfId="1419" applyFont="1" applyFill="1" applyBorder="1" applyAlignment="1">
      <alignment horizontal="left" vertical="center" wrapText="1"/>
    </xf>
    <xf numFmtId="0" fontId="265" fillId="50" borderId="44" xfId="1419" quotePrefix="1" applyFont="1" applyFill="1" applyBorder="1" applyAlignment="1">
      <alignment horizontal="left" vertical="center" wrapText="1"/>
    </xf>
    <xf numFmtId="0" fontId="250" fillId="50" borderId="0" xfId="1509" applyFont="1" applyFill="1" applyAlignment="1">
      <alignment horizontal="center" vertical="center" wrapText="1"/>
    </xf>
    <xf numFmtId="0" fontId="252" fillId="50" borderId="24" xfId="1510" applyFont="1" applyFill="1" applyBorder="1" applyAlignment="1">
      <alignment horizontal="center" vertical="center" wrapText="1"/>
    </xf>
    <xf numFmtId="0" fontId="252" fillId="50" borderId="22" xfId="1510" applyFont="1" applyFill="1" applyBorder="1" applyAlignment="1">
      <alignment horizontal="center" vertical="center" wrapText="1"/>
    </xf>
    <xf numFmtId="0" fontId="252" fillId="50" borderId="43" xfId="1510" applyFont="1" applyFill="1" applyBorder="1" applyAlignment="1">
      <alignment horizontal="center" vertical="center" wrapText="1"/>
    </xf>
    <xf numFmtId="0" fontId="75" fillId="0" borderId="9" xfId="1414" applyFont="1" applyFill="1" applyBorder="1" applyAlignment="1">
      <alignment horizontal="center" vertical="center" wrapText="1"/>
    </xf>
    <xf numFmtId="0" fontId="75" fillId="0" borderId="30" xfId="1414" applyFont="1" applyFill="1" applyBorder="1" applyAlignment="1">
      <alignment horizontal="center" vertical="center" wrapText="1"/>
    </xf>
    <xf numFmtId="0" fontId="75" fillId="0" borderId="13" xfId="1414" applyFont="1" applyFill="1" applyBorder="1" applyAlignment="1">
      <alignment horizontal="center" vertical="center" wrapText="1"/>
    </xf>
    <xf numFmtId="0" fontId="219" fillId="0" borderId="1" xfId="1414" applyFont="1" applyFill="1" applyBorder="1" applyAlignment="1">
      <alignment horizontal="center" vertical="center"/>
    </xf>
    <xf numFmtId="0" fontId="219" fillId="0" borderId="1" xfId="1414" applyFont="1" applyFill="1" applyBorder="1" applyAlignment="1">
      <alignment horizontal="center" vertical="center" wrapText="1"/>
    </xf>
    <xf numFmtId="0" fontId="75" fillId="0" borderId="0" xfId="1414" applyFont="1" applyFill="1" applyAlignment="1">
      <alignment horizontal="center" wrapText="1"/>
    </xf>
    <xf numFmtId="0" fontId="75" fillId="0" borderId="0" xfId="1414" applyFont="1" applyFill="1" applyAlignment="1">
      <alignment horizontal="center"/>
    </xf>
    <xf numFmtId="0" fontId="229" fillId="0" borderId="0" xfId="1414" applyFont="1" applyFill="1" applyAlignment="1">
      <alignment horizontal="center" wrapText="1"/>
    </xf>
    <xf numFmtId="0" fontId="229" fillId="0" borderId="0" xfId="1414" applyFont="1" applyFill="1" applyAlignment="1">
      <alignment horizontal="center"/>
    </xf>
    <xf numFmtId="0" fontId="75" fillId="0" borderId="0" xfId="1414" applyFont="1" applyFill="1" applyBorder="1" applyAlignment="1">
      <alignment horizontal="center" wrapText="1"/>
    </xf>
    <xf numFmtId="0" fontId="230" fillId="0" borderId="45" xfId="1414" applyFont="1" applyFill="1" applyBorder="1" applyAlignment="1">
      <alignment horizontal="center" vertical="center" wrapText="1"/>
    </xf>
    <xf numFmtId="0" fontId="75" fillId="0" borderId="9" xfId="1414" applyFont="1" applyFill="1" applyBorder="1" applyAlignment="1">
      <alignment horizontal="center" vertical="center"/>
    </xf>
    <xf numFmtId="0" fontId="75" fillId="0" borderId="30" xfId="1414" applyFont="1" applyFill="1" applyBorder="1" applyAlignment="1">
      <alignment horizontal="center" vertical="center"/>
    </xf>
    <xf numFmtId="0" fontId="75" fillId="0" borderId="1" xfId="1414" applyFont="1" applyFill="1" applyBorder="1" applyAlignment="1">
      <alignment horizontal="center" vertical="center"/>
    </xf>
    <xf numFmtId="0" fontId="75" fillId="0" borderId="1" xfId="1414" applyFont="1" applyFill="1" applyBorder="1" applyAlignment="1">
      <alignment horizontal="center" vertical="center" wrapText="1"/>
    </xf>
    <xf numFmtId="3" fontId="216" fillId="0" borderId="9" xfId="1414" applyNumberFormat="1" applyFont="1" applyFill="1" applyBorder="1" applyAlignment="1">
      <alignment horizontal="center" vertical="center" wrapText="1"/>
    </xf>
    <xf numFmtId="3" fontId="216" fillId="0" borderId="30" xfId="1414" applyNumberFormat="1" applyFont="1" applyFill="1" applyBorder="1" applyAlignment="1">
      <alignment horizontal="center" vertical="center" wrapText="1"/>
    </xf>
    <xf numFmtId="3" fontId="216" fillId="0" borderId="13" xfId="1414" applyNumberFormat="1" applyFont="1" applyFill="1" applyBorder="1" applyAlignment="1">
      <alignment horizontal="center" vertical="center" wrapText="1"/>
    </xf>
    <xf numFmtId="0" fontId="203" fillId="0" borderId="1" xfId="1414" applyFont="1" applyFill="1" applyBorder="1" applyAlignment="1">
      <alignment horizontal="center" vertical="center" wrapText="1"/>
    </xf>
    <xf numFmtId="0" fontId="216" fillId="0" borderId="9" xfId="1414" applyFont="1" applyFill="1" applyBorder="1" applyAlignment="1">
      <alignment horizontal="center" vertical="center" wrapText="1"/>
    </xf>
    <xf numFmtId="0" fontId="216" fillId="0" borderId="30" xfId="1414" applyFont="1" applyFill="1" applyBorder="1" applyAlignment="1">
      <alignment horizontal="center" vertical="center" wrapText="1"/>
    </xf>
    <xf numFmtId="0" fontId="216" fillId="0" borderId="13" xfId="1414" applyFont="1" applyFill="1" applyBorder="1" applyAlignment="1">
      <alignment horizontal="center" vertical="center" wrapText="1"/>
    </xf>
    <xf numFmtId="0" fontId="230" fillId="0" borderId="1" xfId="1414" applyFont="1" applyFill="1" applyBorder="1" applyAlignment="1">
      <alignment horizontal="center" vertical="center" wrapText="1"/>
    </xf>
    <xf numFmtId="0" fontId="230" fillId="0" borderId="9" xfId="1414" applyFont="1" applyFill="1" applyBorder="1" applyAlignment="1">
      <alignment horizontal="center" vertical="center" wrapText="1"/>
    </xf>
    <xf numFmtId="0" fontId="230" fillId="0" borderId="13" xfId="1414" applyFont="1" applyFill="1" applyBorder="1" applyAlignment="1">
      <alignment horizontal="center" vertical="center" wrapText="1"/>
    </xf>
    <xf numFmtId="0" fontId="266" fillId="0" borderId="0" xfId="1414" applyFont="1" applyFill="1" applyAlignment="1">
      <alignment horizontal="center" wrapText="1"/>
    </xf>
    <xf numFmtId="0" fontId="266" fillId="0" borderId="0" xfId="1414" applyFont="1" applyFill="1" applyAlignment="1">
      <alignment horizontal="center"/>
    </xf>
    <xf numFmtId="0" fontId="260" fillId="0" borderId="0" xfId="1414" applyFont="1" applyFill="1" applyAlignment="1">
      <alignment horizontal="center" wrapText="1"/>
    </xf>
    <xf numFmtId="0" fontId="260" fillId="0" borderId="0" xfId="1414" applyFont="1" applyFill="1" applyAlignment="1">
      <alignment horizontal="center"/>
    </xf>
    <xf numFmtId="0" fontId="226" fillId="0" borderId="24" xfId="1438" applyFont="1" applyBorder="1" applyAlignment="1">
      <alignment horizontal="center" vertical="center"/>
    </xf>
    <xf numFmtId="0" fontId="226" fillId="0" borderId="22" xfId="1438" applyFont="1" applyBorder="1" applyAlignment="1">
      <alignment horizontal="center" vertical="center"/>
    </xf>
    <xf numFmtId="0" fontId="216" fillId="0" borderId="0" xfId="1438" quotePrefix="1" applyFont="1" applyFill="1" applyAlignment="1">
      <alignment horizontal="left" vertical="center" wrapText="1"/>
    </xf>
    <xf numFmtId="0" fontId="216" fillId="0" borderId="0" xfId="1438" quotePrefix="1" applyFont="1" applyAlignment="1">
      <alignment horizontal="left" vertical="center" wrapText="1"/>
    </xf>
    <xf numFmtId="0" fontId="226" fillId="0" borderId="0" xfId="1438" applyFont="1" applyBorder="1" applyAlignment="1">
      <alignment horizontal="center" vertical="center" wrapText="1"/>
    </xf>
    <xf numFmtId="0" fontId="227" fillId="0" borderId="45" xfId="1438" applyFont="1" applyBorder="1" applyAlignment="1">
      <alignment horizontal="center" vertical="center" wrapText="1"/>
    </xf>
    <xf numFmtId="0" fontId="226" fillId="0" borderId="9" xfId="1438" applyFont="1" applyBorder="1" applyAlignment="1">
      <alignment horizontal="center" vertical="center"/>
    </xf>
    <xf numFmtId="0" fontId="226" fillId="0" borderId="13" xfId="1438" applyFont="1" applyBorder="1" applyAlignment="1">
      <alignment horizontal="center" vertical="center"/>
    </xf>
    <xf numFmtId="0" fontId="226" fillId="0" borderId="9" xfId="1438" applyFont="1" applyBorder="1" applyAlignment="1">
      <alignment horizontal="center" vertical="center" wrapText="1"/>
    </xf>
    <xf numFmtId="0" fontId="226" fillId="0" borderId="13" xfId="1438" applyFont="1" applyBorder="1" applyAlignment="1">
      <alignment horizontal="center" vertical="center" wrapText="1"/>
    </xf>
    <xf numFmtId="0" fontId="226" fillId="0" borderId="24" xfId="1438" applyFont="1" applyBorder="1" applyAlignment="1">
      <alignment horizontal="center" vertical="center" wrapText="1"/>
    </xf>
    <xf numFmtId="0" fontId="226" fillId="0" borderId="43" xfId="1438" applyFont="1" applyBorder="1" applyAlignment="1">
      <alignment horizontal="center" vertical="center" wrapText="1"/>
    </xf>
    <xf numFmtId="0" fontId="53" fillId="0" borderId="1" xfId="1478" applyFont="1" applyBorder="1" applyAlignment="1">
      <alignment horizontal="center" vertical="center" wrapText="1"/>
    </xf>
    <xf numFmtId="0" fontId="203" fillId="0" borderId="0" xfId="1478" applyFont="1" applyAlignment="1">
      <alignment horizontal="left" vertical="center" wrapText="1"/>
    </xf>
    <xf numFmtId="0" fontId="53" fillId="0" borderId="0" xfId="1478" applyFont="1" applyAlignment="1">
      <alignment horizontal="center" vertical="center" wrapText="1"/>
    </xf>
    <xf numFmtId="0" fontId="53" fillId="0" borderId="9" xfId="1478" applyFont="1" applyBorder="1" applyAlignment="1">
      <alignment horizontal="center" vertical="center" wrapText="1"/>
    </xf>
    <xf numFmtId="0" fontId="53" fillId="0" borderId="30" xfId="1478" applyFont="1" applyBorder="1" applyAlignment="1">
      <alignment horizontal="center" vertical="center" wrapText="1"/>
    </xf>
    <xf numFmtId="0" fontId="53" fillId="0" borderId="13" xfId="1478" applyFont="1" applyBorder="1" applyAlignment="1">
      <alignment horizontal="center" vertical="center" wrapText="1"/>
    </xf>
    <xf numFmtId="0" fontId="53" fillId="0" borderId="24" xfId="1478" applyFont="1" applyBorder="1" applyAlignment="1">
      <alignment horizontal="center" vertical="center" wrapText="1"/>
    </xf>
    <xf numFmtId="0" fontId="53" fillId="0" borderId="22" xfId="1478" applyFont="1" applyBorder="1" applyAlignment="1">
      <alignment horizontal="center" vertical="center" wrapText="1"/>
    </xf>
    <xf numFmtId="0" fontId="53" fillId="0" borderId="43" xfId="1478" applyFont="1" applyBorder="1" applyAlignment="1">
      <alignment horizontal="center" vertical="center" wrapText="1"/>
    </xf>
    <xf numFmtId="0" fontId="75" fillId="0" borderId="1" xfId="1422" applyFont="1" applyFill="1" applyBorder="1" applyAlignment="1">
      <alignment horizontal="left" vertical="center" wrapText="1"/>
    </xf>
    <xf numFmtId="0" fontId="53" fillId="0" borderId="1" xfId="1422" applyFont="1" applyFill="1" applyBorder="1" applyAlignment="1">
      <alignment horizontal="center" vertical="center"/>
    </xf>
    <xf numFmtId="0" fontId="53" fillId="0" borderId="45" xfId="1422" applyFont="1" applyFill="1" applyBorder="1" applyAlignment="1">
      <alignment horizontal="center" vertical="center" wrapText="1"/>
    </xf>
    <xf numFmtId="0" fontId="53" fillId="0" borderId="1" xfId="1422" applyFont="1" applyFill="1" applyBorder="1" applyAlignment="1">
      <alignment horizontal="center" vertical="center" wrapText="1"/>
    </xf>
    <xf numFmtId="0" fontId="53" fillId="0" borderId="1" xfId="1422" applyFont="1" applyFill="1" applyBorder="1" applyAlignment="1">
      <alignment horizontal="center" vertical="center" textRotation="90" wrapText="1"/>
    </xf>
    <xf numFmtId="0" fontId="53" fillId="50" borderId="1" xfId="1422" applyFont="1" applyFill="1" applyBorder="1" applyAlignment="1">
      <alignment horizontal="left" vertical="center" wrapText="1"/>
    </xf>
    <xf numFmtId="0" fontId="53" fillId="50" borderId="45" xfId="1422" applyFont="1" applyFill="1" applyBorder="1" applyAlignment="1">
      <alignment horizontal="center" vertical="center" wrapText="1"/>
    </xf>
    <xf numFmtId="0" fontId="53" fillId="50" borderId="1" xfId="1422" applyFont="1" applyFill="1" applyBorder="1" applyAlignment="1">
      <alignment horizontal="center" vertical="center" wrapText="1"/>
    </xf>
    <xf numFmtId="0" fontId="53" fillId="50" borderId="1" xfId="1422" applyFont="1" applyFill="1" applyBorder="1" applyAlignment="1">
      <alignment horizontal="center" vertical="center" textRotation="90" wrapText="1"/>
    </xf>
    <xf numFmtId="0" fontId="53" fillId="50" borderId="24" xfId="1422" applyFont="1" applyFill="1" applyBorder="1" applyAlignment="1">
      <alignment horizontal="left" vertical="center" wrapText="1"/>
    </xf>
    <xf numFmtId="0" fontId="53" fillId="50" borderId="43" xfId="1422" applyFont="1" applyFill="1" applyBorder="1" applyAlignment="1">
      <alignment horizontal="left" vertical="center" wrapText="1"/>
    </xf>
    <xf numFmtId="3" fontId="208" fillId="50" borderId="0" xfId="1546" applyFont="1" applyFill="1" applyAlignment="1">
      <alignment horizontal="center" vertical="center" wrapText="1"/>
    </xf>
    <xf numFmtId="3" fontId="208" fillId="50" borderId="0" xfId="1546" applyNumberFormat="1" applyFont="1" applyFill="1" applyAlignment="1">
      <alignment horizontal="center" vertical="center" wrapText="1"/>
    </xf>
    <xf numFmtId="189" fontId="208" fillId="50" borderId="0" xfId="1546" applyNumberFormat="1" applyFont="1" applyFill="1" applyAlignment="1">
      <alignment horizontal="center" vertical="center" wrapText="1"/>
    </xf>
    <xf numFmtId="3" fontId="203" fillId="50" borderId="0" xfId="1546" applyFont="1" applyFill="1" applyAlignment="1">
      <alignment horizontal="center" vertical="center"/>
    </xf>
    <xf numFmtId="188" fontId="209" fillId="50" borderId="0" xfId="1482" applyNumberFormat="1" applyFont="1" applyFill="1" applyBorder="1" applyAlignment="1">
      <alignment horizontal="center" vertical="center"/>
    </xf>
    <xf numFmtId="3" fontId="210" fillId="50" borderId="1" xfId="1546" applyFont="1" applyFill="1" applyBorder="1" applyAlignment="1">
      <alignment horizontal="center" vertical="center" wrapText="1"/>
    </xf>
    <xf numFmtId="3" fontId="210" fillId="50" borderId="1" xfId="1546" applyNumberFormat="1" applyFont="1" applyFill="1" applyBorder="1" applyAlignment="1">
      <alignment horizontal="center" vertical="center" wrapText="1"/>
    </xf>
    <xf numFmtId="188" fontId="210" fillId="50" borderId="1" xfId="1546" applyNumberFormat="1" applyFont="1" applyFill="1" applyBorder="1" applyAlignment="1">
      <alignment horizontal="center" vertical="center" wrapText="1"/>
    </xf>
    <xf numFmtId="3" fontId="104" fillId="50" borderId="1" xfId="1546" applyNumberFormat="1" applyFont="1" applyFill="1" applyBorder="1" applyAlignment="1">
      <alignment horizontal="center" vertical="center" wrapText="1"/>
    </xf>
    <xf numFmtId="188" fontId="104" fillId="50" borderId="1" xfId="1546" applyNumberFormat="1" applyFont="1" applyFill="1" applyBorder="1" applyAlignment="1">
      <alignment horizontal="center" vertical="center" wrapText="1"/>
    </xf>
  </cellXfs>
  <cellStyles count="1931">
    <cellStyle name="_x0001_" xfId="1"/>
    <cellStyle name="          _x000d__x000a_shell=progman.exe_x000d__x000a_m" xfId="2"/>
    <cellStyle name="_x000d__x000a_JournalTemplate=C:\COMFO\CTALK\JOURSTD.TPL_x000d__x000a_LbStateAddress=3 3 0 251 1 89 2 311_x000d__x000a_LbStateJou" xfId="3"/>
    <cellStyle name="#,##0" xfId="4"/>
    <cellStyle name="%" xfId="5"/>
    <cellStyle name="%_Phụ luc goi 5" xfId="6"/>
    <cellStyle name="." xfId="7"/>
    <cellStyle name="??" xfId="8"/>
    <cellStyle name="?? [0.00]_      " xfId="9"/>
    <cellStyle name="?? [0]" xfId="10"/>
    <cellStyle name="?_x001d_??%U©÷u&amp;H©÷9_x0008_? s_x000a__x0007__x0001__x0001_" xfId="11"/>
    <cellStyle name="?_x001d_??%U©÷u&amp;H©÷9_x0008_?_x0009_s_x000a__x0007__x0001__x0001_" xfId="12"/>
    <cellStyle name="???? [0.00]_      " xfId="13"/>
    <cellStyle name="??????" xfId="14"/>
    <cellStyle name="????_      " xfId="15"/>
    <cellStyle name="???[0]_?? DI" xfId="16"/>
    <cellStyle name="???_?? DI" xfId="17"/>
    <cellStyle name="???R쀀Àok1" xfId="18"/>
    <cellStyle name="??[0]_BRE" xfId="19"/>
    <cellStyle name="??_      " xfId="20"/>
    <cellStyle name="??A? [0]_laroux_1_¢¬???¢â? " xfId="21"/>
    <cellStyle name="??A?_laroux_1_¢¬???¢â? " xfId="22"/>
    <cellStyle name="?¡±¢¥?_?¨ù??¢´¢¥_¢¬???¢â? " xfId="23"/>
    <cellStyle name="_x0001_?¶æµ_x001b_ºß­ " xfId="24"/>
    <cellStyle name="_x0001_?¶æµ_x001b_ºß­_" xfId="25"/>
    <cellStyle name="?ðÇ%U?&amp;H?_x0008_?s_x000a__x0007__x0001__x0001_" xfId="26"/>
    <cellStyle name="[0]_Chi phÝ kh¸c_V" xfId="27"/>
    <cellStyle name="_x0001_\Ô" xfId="28"/>
    <cellStyle name="_1 TONG HOP - CA NA" xfId="29"/>
    <cellStyle name="_1.Tong hop KL, GT  - Dien chieu sang HLKB1" xfId="30"/>
    <cellStyle name="_Bang Chi tieu (2)" xfId="31"/>
    <cellStyle name="_BAO GIA NGAY 24-10-08 (co dam)" xfId="32"/>
    <cellStyle name="_BD-BHN scptd 3-6-10" xfId="33"/>
    <cellStyle name="_Book1" xfId="34"/>
    <cellStyle name="_Book1_1" xfId="35"/>
    <cellStyle name="_Book1_1_Phụ luc goi 5" xfId="36"/>
    <cellStyle name="_Book1_1_Tuyen (21-7-11)-doan 1" xfId="37"/>
    <cellStyle name="_Book1_Book1" xfId="38"/>
    <cellStyle name="_Book1_Book1_Tuyen (21-7-11)-doan 1" xfId="39"/>
    <cellStyle name="_Book1_cap dien ha the - xay dung2" xfId="40"/>
    <cellStyle name="_Book1_Khoi luong" xfId="41"/>
    <cellStyle name="_Book1_Phụ luc goi 5" xfId="42"/>
    <cellStyle name="_Book1_Tuyen (21-7-11)-doan 1" xfId="43"/>
    <cellStyle name="_C.cong+B.luong-Sanluong" xfId="44"/>
    <cellStyle name="_cap dien ha the - xay dung2" xfId="45"/>
    <cellStyle name="_Cau Phu Phuong" xfId="46"/>
    <cellStyle name="_cong vien cay xanh" xfId="47"/>
    <cellStyle name="_Chau Thon - Tan Xuan (KCS 8-12-06)" xfId="48"/>
    <cellStyle name="_DCG TT09 G2 3.12.2007" xfId="49"/>
    <cellStyle name="_DO-D1500-KHONG CO TRONG DT" xfId="50"/>
    <cellStyle name="_DON GIA GIAOTHAU TRU CHONG GIA QUANG DAI" xfId="51"/>
    <cellStyle name="_DT khu DT long bien theo 179" xfId="52"/>
    <cellStyle name="_Du toan duong day va TBA QT " xfId="53"/>
    <cellStyle name="_Du toan PS Goi 2 theo bb ngày 31.7 va 1.9. trinh  (DG moi)" xfId="54"/>
    <cellStyle name="_Du toan PS goi01" xfId="55"/>
    <cellStyle name="_ET_STYLE_NoName_00_" xfId="56"/>
    <cellStyle name="_Goi 1 A tham tra" xfId="57"/>
    <cellStyle name="_Goi 1 in 20.4" xfId="58"/>
    <cellStyle name="_Goi 1 in 20.4 sua" xfId="59"/>
    <cellStyle name="_Goi 1in tong NT(da kiem tra)" xfId="60"/>
    <cellStyle name="_Goi 2 in20.4" xfId="61"/>
    <cellStyle name="_Goi 2- My Ly Ban trinh" xfId="62"/>
    <cellStyle name="_GOITHAUSO2" xfId="63"/>
    <cellStyle name="_GOITHAUSO3" xfId="64"/>
    <cellStyle name="_GOITHAUSO4" xfId="65"/>
    <cellStyle name="_Gia goi 1" xfId="66"/>
    <cellStyle name="_Gia-Dai tuong niem liet sy" xfId="67"/>
    <cellStyle name="_HS thau" xfId="68"/>
    <cellStyle name="_KL hoan thanh+PS 15.12.08 theo ban ve." xfId="69"/>
    <cellStyle name="_KLdao chuan" xfId="70"/>
    <cellStyle name="_KT (2)" xfId="71"/>
    <cellStyle name="_KT (2)_1" xfId="72"/>
    <cellStyle name="_KT (2)_1_Lora-tungchau" xfId="73"/>
    <cellStyle name="_KT (2)_1_Qt-HT3PQ1(CauKho)" xfId="74"/>
    <cellStyle name="_KT (2)_1_Tuyen (21-7-11)-doan 1" xfId="75"/>
    <cellStyle name="_KT (2)_2" xfId="76"/>
    <cellStyle name="_KT (2)_2_TG-TH" xfId="77"/>
    <cellStyle name="_KT (2)_2_TG-TH_BANG TONG HOP TINH HINH THANH QUYET TOAN (MOI I)" xfId="78"/>
    <cellStyle name="_KT (2)_2_TG-TH_BAO GIA NGAY 24-10-08 (co dam)" xfId="79"/>
    <cellStyle name="_KT (2)_2_TG-TH_Book1" xfId="80"/>
    <cellStyle name="_KT (2)_2_TG-TH_Book1_1" xfId="81"/>
    <cellStyle name="_KT (2)_2_TG-TH_CAU Khanh Nam(Thi Cong)" xfId="82"/>
    <cellStyle name="_KT (2)_2_TG-TH_DAU NOI PL-CL TAI PHU LAMHC" xfId="83"/>
    <cellStyle name="_KT (2)_2_TG-TH_DU TRU VAT TU" xfId="84"/>
    <cellStyle name="_KT (2)_2_TG-TH_Lora-tungchau" xfId="85"/>
    <cellStyle name="_KT (2)_2_TG-TH_Phụ luc goi 5" xfId="86"/>
    <cellStyle name="_KT (2)_2_TG-TH_Qt-HT3PQ1(CauKho)" xfId="87"/>
    <cellStyle name="_KT (2)_2_TG-TH_Tuyen (21-7-11)-doan 1" xfId="88"/>
    <cellStyle name="_KT (2)_2_TG-TH_ÿÿÿÿÿ" xfId="89"/>
    <cellStyle name="_KT (2)_3" xfId="90"/>
    <cellStyle name="_KT (2)_3_TG-TH" xfId="91"/>
    <cellStyle name="_KT (2)_3_TG-TH_Lora-tungchau" xfId="92"/>
    <cellStyle name="_KT (2)_3_TG-TH_PERSONAL" xfId="93"/>
    <cellStyle name="_KT (2)_3_TG-TH_PERSONAL_Book1" xfId="94"/>
    <cellStyle name="_KT (2)_3_TG-TH_PERSONAL_Tong hop KHCB 2001" xfId="95"/>
    <cellStyle name="_KT (2)_3_TG-TH_Qt-HT3PQ1(CauKho)" xfId="96"/>
    <cellStyle name="_KT (2)_3_TG-TH_Tuyen (21-7-11)-doan 1" xfId="97"/>
    <cellStyle name="_KT (2)_4" xfId="98"/>
    <cellStyle name="_KT (2)_4_BANG TONG HOP TINH HINH THANH QUYET TOAN (MOI I)" xfId="99"/>
    <cellStyle name="_KT (2)_4_BAO GIA NGAY 24-10-08 (co dam)" xfId="100"/>
    <cellStyle name="_KT (2)_4_Book1" xfId="101"/>
    <cellStyle name="_KT (2)_4_Book1_1" xfId="102"/>
    <cellStyle name="_KT (2)_4_CAU Khanh Nam(Thi Cong)" xfId="103"/>
    <cellStyle name="_KT (2)_4_DAU NOI PL-CL TAI PHU LAMHC" xfId="104"/>
    <cellStyle name="_KT (2)_4_DU TRU VAT TU" xfId="105"/>
    <cellStyle name="_KT (2)_4_Lora-tungchau" xfId="106"/>
    <cellStyle name="_KT (2)_4_Phụ luc goi 5" xfId="107"/>
    <cellStyle name="_KT (2)_4_Qt-HT3PQ1(CauKho)" xfId="108"/>
    <cellStyle name="_KT (2)_4_TG-TH" xfId="109"/>
    <cellStyle name="_KT (2)_4_Tuyen (21-7-11)-doan 1" xfId="110"/>
    <cellStyle name="_KT (2)_4_ÿÿÿÿÿ" xfId="111"/>
    <cellStyle name="_KT (2)_5" xfId="112"/>
    <cellStyle name="_KT (2)_5_BANG TONG HOP TINH HINH THANH QUYET TOAN (MOI I)" xfId="113"/>
    <cellStyle name="_KT (2)_5_BAO GIA NGAY 24-10-08 (co dam)" xfId="114"/>
    <cellStyle name="_KT (2)_5_Book1" xfId="115"/>
    <cellStyle name="_KT (2)_5_Book1_1" xfId="116"/>
    <cellStyle name="_KT (2)_5_CAU Khanh Nam(Thi Cong)" xfId="117"/>
    <cellStyle name="_KT (2)_5_DAU NOI PL-CL TAI PHU LAMHC" xfId="118"/>
    <cellStyle name="_KT (2)_5_DU TRU VAT TU" xfId="119"/>
    <cellStyle name="_KT (2)_5_Lora-tungchau" xfId="120"/>
    <cellStyle name="_KT (2)_5_Phụ luc goi 5" xfId="121"/>
    <cellStyle name="_KT (2)_5_Qt-HT3PQ1(CauKho)" xfId="122"/>
    <cellStyle name="_KT (2)_5_Tuyen (21-7-11)-doan 1" xfId="123"/>
    <cellStyle name="_KT (2)_5_ÿÿÿÿÿ" xfId="124"/>
    <cellStyle name="_KT (2)_Lora-tungchau" xfId="125"/>
    <cellStyle name="_KT (2)_PERSONAL" xfId="126"/>
    <cellStyle name="_KT (2)_PERSONAL_Book1" xfId="127"/>
    <cellStyle name="_KT (2)_PERSONAL_Tong hop KHCB 2001" xfId="128"/>
    <cellStyle name="_KT (2)_Qt-HT3PQ1(CauKho)" xfId="129"/>
    <cellStyle name="_KT (2)_TG-TH" xfId="130"/>
    <cellStyle name="_KT (2)_Tuyen (21-7-11)-doan 1" xfId="131"/>
    <cellStyle name="_KT_TG" xfId="132"/>
    <cellStyle name="_KT_TG_1" xfId="133"/>
    <cellStyle name="_KT_TG_1_BANG TONG HOP TINH HINH THANH QUYET TOAN (MOI I)" xfId="134"/>
    <cellStyle name="_KT_TG_1_BAO GIA NGAY 24-10-08 (co dam)" xfId="135"/>
    <cellStyle name="_KT_TG_1_Book1" xfId="136"/>
    <cellStyle name="_KT_TG_1_Book1_1" xfId="137"/>
    <cellStyle name="_KT_TG_1_CAU Khanh Nam(Thi Cong)" xfId="138"/>
    <cellStyle name="_KT_TG_1_DAU NOI PL-CL TAI PHU LAMHC" xfId="139"/>
    <cellStyle name="_KT_TG_1_DU TRU VAT TU" xfId="140"/>
    <cellStyle name="_KT_TG_1_Lora-tungchau" xfId="141"/>
    <cellStyle name="_KT_TG_1_Phụ luc goi 5" xfId="142"/>
    <cellStyle name="_KT_TG_1_Qt-HT3PQ1(CauKho)" xfId="143"/>
    <cellStyle name="_KT_TG_1_Tuyen (21-7-11)-doan 1" xfId="144"/>
    <cellStyle name="_KT_TG_1_ÿÿÿÿÿ" xfId="145"/>
    <cellStyle name="_KT_TG_2" xfId="146"/>
    <cellStyle name="_KT_TG_2_BANG TONG HOP TINH HINH THANH QUYET TOAN (MOI I)" xfId="147"/>
    <cellStyle name="_KT_TG_2_BAO GIA NGAY 24-10-08 (co dam)" xfId="148"/>
    <cellStyle name="_KT_TG_2_Book1" xfId="149"/>
    <cellStyle name="_KT_TG_2_Book1_1" xfId="150"/>
    <cellStyle name="_KT_TG_2_CAU Khanh Nam(Thi Cong)" xfId="151"/>
    <cellStyle name="_KT_TG_2_DAU NOI PL-CL TAI PHU LAMHC" xfId="152"/>
    <cellStyle name="_KT_TG_2_DU TRU VAT TU" xfId="153"/>
    <cellStyle name="_KT_TG_2_Lora-tungchau" xfId="154"/>
    <cellStyle name="_KT_TG_2_Phụ luc goi 5" xfId="155"/>
    <cellStyle name="_KT_TG_2_Qt-HT3PQ1(CauKho)" xfId="156"/>
    <cellStyle name="_KT_TG_2_Tuyen (21-7-11)-doan 1" xfId="157"/>
    <cellStyle name="_KT_TG_2_ÿÿÿÿÿ" xfId="158"/>
    <cellStyle name="_KT_TG_3" xfId="159"/>
    <cellStyle name="_KT_TG_4" xfId="160"/>
    <cellStyle name="_KT_TG_4_Lora-tungchau" xfId="161"/>
    <cellStyle name="_KT_TG_4_Qt-HT3PQ1(CauKho)" xfId="162"/>
    <cellStyle name="_KT_TG_4_Tuyen (21-7-11)-doan 1" xfId="163"/>
    <cellStyle name="_Khoi luong" xfId="164"/>
    <cellStyle name="_Khoi luong QL8B" xfId="165"/>
    <cellStyle name="_Lora-tungchau" xfId="166"/>
    <cellStyle name="_PERSONAL" xfId="167"/>
    <cellStyle name="_PERSONAL_Book1" xfId="168"/>
    <cellStyle name="_PERSONAL_Tong hop KHCB 2001" xfId="169"/>
    <cellStyle name="_x0001__Phụ luc goi 5" xfId="170"/>
    <cellStyle name="_Q TOAN  SCTX QL.62 QUI I ( oanh)" xfId="171"/>
    <cellStyle name="_Q TOAN  SCTX QL.62 QUI II ( oanh)" xfId="172"/>
    <cellStyle name="_QT SCTXQL62_QT1 (Cty QL)" xfId="173"/>
    <cellStyle name="_Qt-HT3PQ1(CauKho)" xfId="174"/>
    <cellStyle name="_QTKL HT THEO HD" xfId="175"/>
    <cellStyle name="_QUYET TOAN QUY I " xfId="176"/>
    <cellStyle name="_Sheet1" xfId="177"/>
    <cellStyle name="_Sheet2" xfId="178"/>
    <cellStyle name="_Sheet3" xfId="179"/>
    <cellStyle name="_Sheet4" xfId="180"/>
    <cellStyle name="_TG-TH" xfId="181"/>
    <cellStyle name="_TG-TH_1" xfId="182"/>
    <cellStyle name="_TG-TH_1_BANG TONG HOP TINH HINH THANH QUYET TOAN (MOI I)" xfId="183"/>
    <cellStyle name="_TG-TH_1_BAO GIA NGAY 24-10-08 (co dam)" xfId="184"/>
    <cellStyle name="_TG-TH_1_Book1" xfId="185"/>
    <cellStyle name="_TG-TH_1_Book1_1" xfId="186"/>
    <cellStyle name="_TG-TH_1_CAU Khanh Nam(Thi Cong)" xfId="187"/>
    <cellStyle name="_TG-TH_1_DAU NOI PL-CL TAI PHU LAMHC" xfId="188"/>
    <cellStyle name="_TG-TH_1_DU TRU VAT TU" xfId="189"/>
    <cellStyle name="_TG-TH_1_Lora-tungchau" xfId="190"/>
    <cellStyle name="_TG-TH_1_Phụ luc goi 5" xfId="191"/>
    <cellStyle name="_TG-TH_1_Qt-HT3PQ1(CauKho)" xfId="192"/>
    <cellStyle name="_TG-TH_1_Tuyen (21-7-11)-doan 1" xfId="193"/>
    <cellStyle name="_TG-TH_1_ÿÿÿÿÿ" xfId="194"/>
    <cellStyle name="_TG-TH_2" xfId="195"/>
    <cellStyle name="_TG-TH_2_BANG TONG HOP TINH HINH THANH QUYET TOAN (MOI I)" xfId="196"/>
    <cellStyle name="_TG-TH_2_BAO GIA NGAY 24-10-08 (co dam)" xfId="197"/>
    <cellStyle name="_TG-TH_2_Book1" xfId="198"/>
    <cellStyle name="_TG-TH_2_Book1_1" xfId="199"/>
    <cellStyle name="_TG-TH_2_CAU Khanh Nam(Thi Cong)" xfId="200"/>
    <cellStyle name="_TG-TH_2_DAU NOI PL-CL TAI PHU LAMHC" xfId="201"/>
    <cellStyle name="_TG-TH_2_DU TRU VAT TU" xfId="202"/>
    <cellStyle name="_TG-TH_2_Lora-tungchau" xfId="203"/>
    <cellStyle name="_TG-TH_2_Phụ luc goi 5" xfId="204"/>
    <cellStyle name="_TG-TH_2_Qt-HT3PQ1(CauKho)" xfId="205"/>
    <cellStyle name="_TG-TH_2_Tuyen (21-7-11)-doan 1" xfId="206"/>
    <cellStyle name="_TG-TH_2_ÿÿÿÿÿ" xfId="207"/>
    <cellStyle name="_TG-TH_3" xfId="208"/>
    <cellStyle name="_TG-TH_3_Lora-tungchau" xfId="209"/>
    <cellStyle name="_TG-TH_3_Qt-HT3PQ1(CauKho)" xfId="210"/>
    <cellStyle name="_TG-TH_3_Tuyen (21-7-11)-doan 1" xfId="211"/>
    <cellStyle name="_TG-TH_4" xfId="212"/>
    <cellStyle name="_Tong dutoan PP LAHAI" xfId="213"/>
    <cellStyle name="_Tong hop" xfId="214"/>
    <cellStyle name="_TONG HOP DT QUY II" xfId="215"/>
    <cellStyle name="_Tong hop may cheu nganh 1" xfId="216"/>
    <cellStyle name="_Tuyen (21-7-11)-doan 1" xfId="217"/>
    <cellStyle name="_Thi nghiem duong day va TBA" xfId="218"/>
    <cellStyle name="_Viahe-TD (15-10-07)" xfId="219"/>
    <cellStyle name="_xay dung ranh cap 22kv qt - ok" xfId="220"/>
    <cellStyle name="_ÿÿÿÿÿ" xfId="221"/>
    <cellStyle name="_ÿÿÿÿÿ_Phụ luc goi 5" xfId="222"/>
    <cellStyle name="~1" xfId="223"/>
    <cellStyle name="_x0001_¨c^ " xfId="224"/>
    <cellStyle name="_x0001_¨c^[" xfId="225"/>
    <cellStyle name="_x0001_¨c^_" xfId="226"/>
    <cellStyle name="_x0001_¨Œc^ " xfId="227"/>
    <cellStyle name="_x0001_¨Œc^[" xfId="228"/>
    <cellStyle name="_x0001_¨Œc^_" xfId="229"/>
    <cellStyle name="’Ê‰Ý [0.00]_laroux" xfId="230"/>
    <cellStyle name="’Ê‰Ý_laroux" xfId="231"/>
    <cellStyle name="_x0001_µÑTÖ " xfId="232"/>
    <cellStyle name="_x0001_µÑTÖ_" xfId="233"/>
    <cellStyle name="•W?_Format" xfId="234"/>
    <cellStyle name="•W€_’·Šú‰p•¶" xfId="235"/>
    <cellStyle name="•W_’·Šú‰p•¶" xfId="236"/>
    <cellStyle name="W_MARINE" xfId="237"/>
    <cellStyle name="0" xfId="238"/>
    <cellStyle name="0.0" xfId="239"/>
    <cellStyle name="0.00" xfId="240"/>
    <cellStyle name="1" xfId="241"/>
    <cellStyle name="1_0D5B6000" xfId="242"/>
    <cellStyle name="1_6.Bang_luong_moi_XDCB" xfId="243"/>
    <cellStyle name="1_A che do KS +chi BQL" xfId="244"/>
    <cellStyle name="1_BANG CAM COC GPMB 8km" xfId="245"/>
    <cellStyle name="1_Bang tong hop khoi luong" xfId="246"/>
    <cellStyle name="1_BAO GIA NGAY 24-10-08 (co dam)" xfId="247"/>
    <cellStyle name="1_BC thang" xfId="248"/>
    <cellStyle name="1_Book1" xfId="249"/>
    <cellStyle name="1_Book1_02-07 Tuyen chinh" xfId="250"/>
    <cellStyle name="1_Book1_02-07Tuyen Nhanh" xfId="251"/>
    <cellStyle name="1_Book1_1" xfId="252"/>
    <cellStyle name="1_Book1_1_Phụ luc goi 5" xfId="253"/>
    <cellStyle name="1_Book1_BC thang" xfId="254"/>
    <cellStyle name="1_Book1_Book1" xfId="255"/>
    <cellStyle name="1_Book1_Cau Hoa Son Km 1+441.06 (14-12-2006)" xfId="256"/>
    <cellStyle name="1_Book1_Cau Hoa Son Km 1+441.06 (22-10-2006)" xfId="257"/>
    <cellStyle name="1_Book1_Cau Hoa Son Km 1+441.06 (24-10-2006)" xfId="258"/>
    <cellStyle name="1_Book1_Cau Nam Tot(ngay 2-10-2006)" xfId="259"/>
    <cellStyle name="1_Book1_CAU XOP XANG II(su­a)" xfId="260"/>
    <cellStyle name="1_Book1_Dieu phoi dat goi 1" xfId="261"/>
    <cellStyle name="1_Book1_Dieu phoi dat goi 2" xfId="262"/>
    <cellStyle name="1_Book1_DT 27-9-2006 nop SKH" xfId="263"/>
    <cellStyle name="1_Book1_DT Kha thi ngay 11-2-06" xfId="264"/>
    <cellStyle name="1_Book1_DT ngay 04-01-2006" xfId="265"/>
    <cellStyle name="1_Book1_DT ngay 11-4-2006" xfId="266"/>
    <cellStyle name="1_Book1_DT ngay 15-11-05" xfId="267"/>
    <cellStyle name="1_Book1_DT theo DM24" xfId="268"/>
    <cellStyle name="1_Book1_DT Yen Na - Yen Tinh Theo 51 bu may CT8" xfId="269"/>
    <cellStyle name="1_Book1_Du toan KT-TCsua theo TT 03 - YC 471" xfId="270"/>
    <cellStyle name="1_Book1_Du toan Phuong lam" xfId="271"/>
    <cellStyle name="1_Book1_Du toan QL 27 (23-12-2005)" xfId="272"/>
    <cellStyle name="1_Book1_DuAnKT ngay 11-2-2006" xfId="273"/>
    <cellStyle name="1_Book1_Goi 1" xfId="274"/>
    <cellStyle name="1_Book1_Goi thau so 2 (20-6-2006)" xfId="275"/>
    <cellStyle name="1_Book1_Goi02(25-05-2006)" xfId="276"/>
    <cellStyle name="1_Book1_K C N - HUNG DONG L.NHUA" xfId="277"/>
    <cellStyle name="1_Book1_KLdao chuan" xfId="278"/>
    <cellStyle name="1_Book1_Khoi Luong Hoang Truong - Hoang Phu" xfId="279"/>
    <cellStyle name="1_Book1_Muong TL" xfId="280"/>
    <cellStyle name="1_Book1_Sua -  Nam Cam 07" xfId="281"/>
    <cellStyle name="1_Book1_T4-nhanh1(17-6)" xfId="282"/>
    <cellStyle name="1_Book1_Tong muc KT 20-11 Tan Huong Tuyen2" xfId="283"/>
    <cellStyle name="1_Book1_Tuyen so 1-Km0+00 - Km0+852.56" xfId="284"/>
    <cellStyle name="1_Book1_TV sua ngay 02-08-06" xfId="285"/>
    <cellStyle name="1_Book1_xop nhi Gia Q4( 7-3-07)" xfId="286"/>
    <cellStyle name="1_Book1_Yen Na-Yen Tinh 07" xfId="287"/>
    <cellStyle name="1_Book1_Yen Na-Yen tinh 11" xfId="288"/>
    <cellStyle name="1_Book1_ÿÿÿÿÿ" xfId="289"/>
    <cellStyle name="1_C" xfId="290"/>
    <cellStyle name="1_Cap dien ha the - phan lap dat dot 3" xfId="291"/>
    <cellStyle name="1_Cau Hoi 115" xfId="292"/>
    <cellStyle name="1_Cau Hua Trai (TT 04)" xfId="293"/>
    <cellStyle name="1_Cau Nam Tot(ngay 2-10-2006)" xfId="294"/>
    <cellStyle name="1_Cau Thanh Ha 1" xfId="295"/>
    <cellStyle name="1_Cau thuy dien Ban La (Cu Anh)" xfId="296"/>
    <cellStyle name="1_Cau thuy dien Ban La (Cu Anh) 2" xfId="297"/>
    <cellStyle name="1_Cau thuy dien Ban La (Cu Anh) 3" xfId="298"/>
    <cellStyle name="1_Cau thuy dien Ban La (Cu Anh)_Phụ luc goi 5" xfId="299"/>
    <cellStyle name="1_CAU XOP XANG II(su­a)" xfId="300"/>
    <cellStyle name="1_cong" xfId="301"/>
    <cellStyle name="1_cuong sua 9.10" xfId="302"/>
    <cellStyle name="1_Chau Thon - Tan Xuan (KCS 8-12-06)" xfId="303"/>
    <cellStyle name="1_Chi phi KS" xfId="304"/>
    <cellStyle name="1_Dakt-Cau tinh Hua Phan" xfId="305"/>
    <cellStyle name="1_DIEN" xfId="306"/>
    <cellStyle name="1_Dieu phoi dat goi 1" xfId="307"/>
    <cellStyle name="1_Dieu phoi dat goi 2" xfId="308"/>
    <cellStyle name="1_Dinh muc thiet ke" xfId="309"/>
    <cellStyle name="1_DON GIA GIAOTHAU TRU CHONG GIA QUANG DAI" xfId="310"/>
    <cellStyle name="1_DONGIA" xfId="311"/>
    <cellStyle name="1_DT KS Cam LAc-10-05-07" xfId="312"/>
    <cellStyle name="1_DT KT ngay 10-9-2005" xfId="313"/>
    <cellStyle name="1_DT Kha thi ngay 11-2-06" xfId="314"/>
    <cellStyle name="1_DT ngay 04-01-2006" xfId="315"/>
    <cellStyle name="1_DT ngay 11-4-2006" xfId="316"/>
    <cellStyle name="1_DT ngay 15-11-05" xfId="317"/>
    <cellStyle name="1_DT theo DM24" xfId="318"/>
    <cellStyle name="1_DT Yen Na - Yen Tinh Theo 51 bu may CT8" xfId="319"/>
    <cellStyle name="1_Dtdchinh2397" xfId="320"/>
    <cellStyle name="1_Dtdchinh2397_Phụ luc goi 5" xfId="321"/>
    <cellStyle name="1_DTXL goi 11(20-9-05)" xfId="322"/>
    <cellStyle name="1_du toan" xfId="323"/>
    <cellStyle name="1_du toan (03-11-05)" xfId="324"/>
    <cellStyle name="1_Du toan (12-05-2005) Tham dinh" xfId="325"/>
    <cellStyle name="1_Du toan (23-05-2005) Tham dinh" xfId="326"/>
    <cellStyle name="1_Du toan (5 - 04 - 2004)" xfId="327"/>
    <cellStyle name="1_Du toan (6-3-2005)" xfId="328"/>
    <cellStyle name="1_Du toan (Ban A)" xfId="329"/>
    <cellStyle name="1_Du toan (ngay 13 - 07 - 2004)" xfId="330"/>
    <cellStyle name="1_Du toan (ngay 25-9-06)" xfId="331"/>
    <cellStyle name="1_Du toan 558 (Km17+508.12 - Km 22)" xfId="332"/>
    <cellStyle name="1_Du toan 558 (Km17+508.12 - Km 22) 2" xfId="333"/>
    <cellStyle name="1_Du toan 558 (Km17+508.12 - Km 22) 3" xfId="334"/>
    <cellStyle name="1_Du toan 558 (Km17+508.12 - Km 22)_Phụ luc goi 5" xfId="335"/>
    <cellStyle name="1_Du toan bo sung (11-2004)" xfId="336"/>
    <cellStyle name="1_Du toan Cang Vung Ang (Tham tra 3-11-06)" xfId="337"/>
    <cellStyle name="1_Du toan Cang Vung Ang ngay 09-8-06 " xfId="338"/>
    <cellStyle name="1_Du toan dieu chin theo don gia moi (1-2-2007)" xfId="339"/>
    <cellStyle name="1_Du toan Goi 1" xfId="340"/>
    <cellStyle name="1_du toan goi 12" xfId="341"/>
    <cellStyle name="1_Du toan Goi 2" xfId="342"/>
    <cellStyle name="1_Du toan Huong Lam - Ban Giang (ngay28-11-06)" xfId="343"/>
    <cellStyle name="1_Du toan KT-TCsua theo TT 03 - YC 471" xfId="344"/>
    <cellStyle name="1_Du toan ngay (28-10-2005)" xfId="345"/>
    <cellStyle name="1_Du toan ngay 1-9-2004 (version 1)" xfId="346"/>
    <cellStyle name="1_Du toan Phuong lam" xfId="347"/>
    <cellStyle name="1_Du toan QL 27 (23-12-2005)" xfId="348"/>
    <cellStyle name="1_DuAnKT ngay 11-2-2006" xfId="349"/>
    <cellStyle name="1_DUONGNOIVUNG-QTHANG-QLUU" xfId="350"/>
    <cellStyle name="1_G_I TCDBVN. BCQTC_U QUANG DAI.QL62.(11)" xfId="351"/>
    <cellStyle name="1_goi 1" xfId="352"/>
    <cellStyle name="1_Goi 1 (TT04)" xfId="353"/>
    <cellStyle name="1_goi 1 duyet theo luong mo (an)" xfId="354"/>
    <cellStyle name="1_Goi 1_1" xfId="355"/>
    <cellStyle name="1_Goi so 1" xfId="356"/>
    <cellStyle name="1_Goi thau so 2 (20-6-2006)" xfId="357"/>
    <cellStyle name="1_Goi02(25-05-2006)" xfId="358"/>
    <cellStyle name="1_Goi1N206" xfId="359"/>
    <cellStyle name="1_Goi2N206" xfId="360"/>
    <cellStyle name="1_Goi4N216" xfId="361"/>
    <cellStyle name="1_Goi5N216" xfId="362"/>
    <cellStyle name="1_Gia goi 1" xfId="363"/>
    <cellStyle name="1_Gia_VL cau-JIBIC-Ha-tinh" xfId="364"/>
    <cellStyle name="1_Gia_VLQL48_duyet " xfId="365"/>
    <cellStyle name="1_Gia_VLQL48_duyet _Phụ luc goi 5" xfId="366"/>
    <cellStyle name="1_Hoi Song" xfId="367"/>
    <cellStyle name="1_HT-LO" xfId="368"/>
    <cellStyle name="1_HTLO-TKKT(15-2-08)" xfId="369"/>
    <cellStyle name="1_KL" xfId="370"/>
    <cellStyle name="1_KL goi 1" xfId="371"/>
    <cellStyle name="1_Kl6-6-05" xfId="372"/>
    <cellStyle name="1_Kldoan3" xfId="373"/>
    <cellStyle name="1_Klnutgiao" xfId="374"/>
    <cellStyle name="1_KLPA2s" xfId="375"/>
    <cellStyle name="1_KlQdinhduyet" xfId="376"/>
    <cellStyle name="1_KlQdinhduyet_Phụ luc goi 5" xfId="377"/>
    <cellStyle name="1_KlQL4goi5KCS" xfId="378"/>
    <cellStyle name="1_Kltayth" xfId="379"/>
    <cellStyle name="1_KltaythQDduyet" xfId="380"/>
    <cellStyle name="1_Kluong4-2004" xfId="381"/>
    <cellStyle name="1_Km198-Km 206(3-6-09)" xfId="382"/>
    <cellStyle name="1_Km329-Km350 (7-6)" xfId="383"/>
    <cellStyle name="1_Km4-Km8+800" xfId="384"/>
    <cellStyle name="1_Khoi luong" xfId="385"/>
    <cellStyle name="1_Khoi luong doan 1" xfId="386"/>
    <cellStyle name="1_Khoi luong doan 2" xfId="387"/>
    <cellStyle name="1_Khoi luong goi 1-QL4D" xfId="388"/>
    <cellStyle name="1_Khoi Luong Hoang Truong - Hoang Phu" xfId="389"/>
    <cellStyle name="1_Khoi luong QL8B" xfId="390"/>
    <cellStyle name="1_Long_Lien_Phuong_BVTC" xfId="391"/>
    <cellStyle name="1_Luong A6" xfId="392"/>
    <cellStyle name="1_maugiacotaluy" xfId="393"/>
    <cellStyle name="1_My Thanh Son Thanh" xfId="394"/>
    <cellStyle name="1_Nhom I" xfId="395"/>
    <cellStyle name="1_Project N.Du" xfId="396"/>
    <cellStyle name="1_Project N.Du.dien" xfId="397"/>
    <cellStyle name="1_Project QL4" xfId="398"/>
    <cellStyle name="1_Project QL4 goi 7" xfId="399"/>
    <cellStyle name="1_Project QL4 goi5" xfId="400"/>
    <cellStyle name="1_Project QL4 goi8" xfId="401"/>
    <cellStyle name="1_QL1A-SUA2005" xfId="402"/>
    <cellStyle name="1_Sheet1" xfId="403"/>
    <cellStyle name="1_SuoiTon" xfId="404"/>
    <cellStyle name="1_t" xfId="405"/>
    <cellStyle name="1_Tay THoa" xfId="406"/>
    <cellStyle name="1_TDT 3 xa VA chinh thuc" xfId="407"/>
    <cellStyle name="1_Tinh KLHC goi 1" xfId="408"/>
    <cellStyle name="1_tmthiet ke" xfId="409"/>
    <cellStyle name="1_tmthiet ke1" xfId="410"/>
    <cellStyle name="1_Tong hop DT dieu chinh duong 38-95" xfId="411"/>
    <cellStyle name="1_tong hop kl nen mat" xfId="412"/>
    <cellStyle name="1_Tong hop khoi luong duong 557 (30-5-2006)" xfId="413"/>
    <cellStyle name="1_Tong muc dau tu" xfId="414"/>
    <cellStyle name="1_Tong muc KT 20-11 Tan Huong Tuyen2" xfId="415"/>
    <cellStyle name="1_Tuyen (20-6-11 PA 2)" xfId="416"/>
    <cellStyle name="1_Tuyen (21-7-11)-doan 1" xfId="417"/>
    <cellStyle name="1_Tuyen so 1-Km0+00 - Km0+852.56" xfId="418"/>
    <cellStyle name="1_TV sua ngay 02-08-06" xfId="419"/>
    <cellStyle name="1_TH Nguon NTM 2014" xfId="420"/>
    <cellStyle name="1_TH Nguon NTM 2015" xfId="421"/>
    <cellStyle name="1_Tham tra (8-11)1" xfId="422"/>
    <cellStyle name="1_THKLsua_cuoi" xfId="423"/>
    <cellStyle name="1_TRUNG PMU 5" xfId="424"/>
    <cellStyle name="1_VatLieu 3 cau -NA" xfId="425"/>
    <cellStyle name="1_Yen Na - Yen Tinh  du an 30 -10-2006- Theo 51 bu may" xfId="426"/>
    <cellStyle name="1_Yen Na - Yen Tinh Theo 51 bu may Ghep" xfId="427"/>
    <cellStyle name="1_Yen Na - Yen Tinh Theo 51 -TV NA Ghep" xfId="428"/>
    <cellStyle name="1_Yen Na-Yen Tinh 07" xfId="429"/>
    <cellStyle name="1_ÿÿÿÿÿ" xfId="430"/>
    <cellStyle name="1_ÿÿÿÿÿ_1" xfId="431"/>
    <cellStyle name="1_ÿÿÿÿÿ_Bao cao thang G1" xfId="432"/>
    <cellStyle name="1_ÿÿÿÿÿ_Book1" xfId="433"/>
    <cellStyle name="1_ÿÿÿÿÿ_Book1_Phụ luc goi 5" xfId="434"/>
    <cellStyle name="1_ÿÿÿÿÿ_Don gia Goi thau so 1 (872)" xfId="435"/>
    <cellStyle name="1_ÿÿÿÿÿ_DON GIA GIAOTHAU TRU CHONG GIA QUANG DAI" xfId="436"/>
    <cellStyle name="1_ÿÿÿÿÿ_DTduong-goi1" xfId="437"/>
    <cellStyle name="1_ÿÿÿÿÿ_dutoanLCSP04-km0-5-goi1 (Ban 5 sua 24-8)" xfId="438"/>
    <cellStyle name="1_ÿÿÿÿÿ_G_I TCDBVN. BCQTC_U QUANG DAI.QL62.(11)" xfId="439"/>
    <cellStyle name="1_ÿÿÿÿÿ_Tinh KLHC goi 1" xfId="440"/>
    <cellStyle name="1_ÿÿÿÿÿ_Tong hop DT dieu chinh duong 38-95" xfId="441"/>
    <cellStyle name="_x0001_1¼„½(" xfId="442"/>
    <cellStyle name="_x0001_1¼½(" xfId="443"/>
    <cellStyle name="12" xfId="444"/>
    <cellStyle name="123" xfId="445"/>
    <cellStyle name="123w" xfId="446"/>
    <cellStyle name="15" xfId="447"/>
    <cellStyle name="¹éºÐÀ²_      " xfId="448"/>
    <cellStyle name="2" xfId="449"/>
    <cellStyle name="2_0D5B6000" xfId="450"/>
    <cellStyle name="2_6.Bang_luong_moi_XDCB" xfId="451"/>
    <cellStyle name="2_A che do KS +chi BQL" xfId="452"/>
    <cellStyle name="2_BANG CAM COC GPMB 8km" xfId="453"/>
    <cellStyle name="2_Bang tong hop khoi luong" xfId="454"/>
    <cellStyle name="2_BC thang" xfId="455"/>
    <cellStyle name="2_Book1" xfId="456"/>
    <cellStyle name="2_Book1_02-07 Tuyen chinh" xfId="457"/>
    <cellStyle name="2_Book1_02-07Tuyen Nhanh" xfId="458"/>
    <cellStyle name="2_Book1_1" xfId="459"/>
    <cellStyle name="2_Book1_1_Phụ luc goi 5" xfId="460"/>
    <cellStyle name="2_Book1_BC thang" xfId="461"/>
    <cellStyle name="2_Book1_Book1" xfId="462"/>
    <cellStyle name="2_Book1_Cau Hoa Son Km 1+441.06 (14-12-2006)" xfId="463"/>
    <cellStyle name="2_Book1_Cau Hoa Son Km 1+441.06 (22-10-2006)" xfId="464"/>
    <cellStyle name="2_Book1_Cau Hoa Son Km 1+441.06 (24-10-2006)" xfId="465"/>
    <cellStyle name="2_Book1_Cau Nam Tot(ngay 2-10-2006)" xfId="466"/>
    <cellStyle name="2_Book1_CAU XOP XANG II(su­a)" xfId="467"/>
    <cellStyle name="2_Book1_Dieu phoi dat goi 1" xfId="468"/>
    <cellStyle name="2_Book1_Dieu phoi dat goi 2" xfId="469"/>
    <cellStyle name="2_Book1_DT 27-9-2006 nop SKH" xfId="470"/>
    <cellStyle name="2_Book1_DT Kha thi ngay 11-2-06" xfId="471"/>
    <cellStyle name="2_Book1_DT ngay 04-01-2006" xfId="472"/>
    <cellStyle name="2_Book1_DT ngay 11-4-2006" xfId="473"/>
    <cellStyle name="2_Book1_DT ngay 15-11-05" xfId="474"/>
    <cellStyle name="2_Book1_DT theo DM24" xfId="475"/>
    <cellStyle name="2_Book1_DT Yen Na - Yen Tinh Theo 51 bu may CT8" xfId="476"/>
    <cellStyle name="2_Book1_Du toan KT-TCsua theo TT 03 - YC 471" xfId="477"/>
    <cellStyle name="2_Book1_Du toan Phuong lam" xfId="478"/>
    <cellStyle name="2_Book1_Du toan QL 27 (23-12-2005)" xfId="479"/>
    <cellStyle name="2_Book1_DuAnKT ngay 11-2-2006" xfId="480"/>
    <cellStyle name="2_Book1_Goi 1" xfId="481"/>
    <cellStyle name="2_Book1_Goi thau so 2 (20-6-2006)" xfId="482"/>
    <cellStyle name="2_Book1_Goi02(25-05-2006)" xfId="483"/>
    <cellStyle name="2_Book1_K C N - HUNG DONG L.NHUA" xfId="484"/>
    <cellStyle name="2_Book1_KLdao chuan" xfId="485"/>
    <cellStyle name="2_Book1_Khoi Luong Hoang Truong - Hoang Phu" xfId="486"/>
    <cellStyle name="2_Book1_Muong TL" xfId="487"/>
    <cellStyle name="2_Book1_Sua -  Nam Cam 07" xfId="488"/>
    <cellStyle name="2_Book1_T4-nhanh1(17-6)" xfId="489"/>
    <cellStyle name="2_Book1_Tong muc KT 20-11 Tan Huong Tuyen2" xfId="490"/>
    <cellStyle name="2_Book1_Tuyen so 1-Km0+00 - Km0+852.56" xfId="491"/>
    <cellStyle name="2_Book1_TV sua ngay 02-08-06" xfId="492"/>
    <cellStyle name="2_Book1_xop nhi Gia Q4( 7-3-07)" xfId="493"/>
    <cellStyle name="2_Book1_Yen Na-Yen Tinh 07" xfId="494"/>
    <cellStyle name="2_Book1_Yen Na-Yen tinh 11" xfId="495"/>
    <cellStyle name="2_Book1_ÿÿÿÿÿ" xfId="496"/>
    <cellStyle name="2_C" xfId="497"/>
    <cellStyle name="2_Cau Hoi 115" xfId="498"/>
    <cellStyle name="2_Cau Hua Trai (TT 04)" xfId="499"/>
    <cellStyle name="2_Cau Nam Tot(ngay 2-10-2006)" xfId="500"/>
    <cellStyle name="2_Cau Thanh Ha 1" xfId="501"/>
    <cellStyle name="2_Cau thuy dien Ban La (Cu Anh)" xfId="502"/>
    <cellStyle name="2_Cau thuy dien Ban La (Cu Anh) 2" xfId="503"/>
    <cellStyle name="2_Cau thuy dien Ban La (Cu Anh) 3" xfId="504"/>
    <cellStyle name="2_Cau thuy dien Ban La (Cu Anh)_Phụ luc goi 5" xfId="505"/>
    <cellStyle name="2_CAU XOP XANG II(su­a)" xfId="506"/>
    <cellStyle name="2_cong" xfId="507"/>
    <cellStyle name="2_cuong sua 9.10" xfId="508"/>
    <cellStyle name="2_Chau Thon - Tan Xuan (KCS 8-12-06)" xfId="509"/>
    <cellStyle name="2_Chi phi KS" xfId="510"/>
    <cellStyle name="2_Dakt-Cau tinh Hua Phan" xfId="511"/>
    <cellStyle name="2_DIEN" xfId="512"/>
    <cellStyle name="2_Dieu phoi dat goi 1" xfId="513"/>
    <cellStyle name="2_Dieu phoi dat goi 2" xfId="514"/>
    <cellStyle name="2_Dinh muc thiet ke" xfId="515"/>
    <cellStyle name="2_DONGIA" xfId="516"/>
    <cellStyle name="2_DT KS Cam LAc-10-05-07" xfId="517"/>
    <cellStyle name="2_DT KT ngay 10-9-2005" xfId="518"/>
    <cellStyle name="2_DT Kha thi ngay 11-2-06" xfId="519"/>
    <cellStyle name="2_DT ngay 04-01-2006" xfId="520"/>
    <cellStyle name="2_DT ngay 11-4-2006" xfId="521"/>
    <cellStyle name="2_DT ngay 15-11-05" xfId="522"/>
    <cellStyle name="2_DT theo DM24" xfId="523"/>
    <cellStyle name="2_DT Yen Na - Yen Tinh Theo 51 bu may CT8" xfId="524"/>
    <cellStyle name="2_Dtdchinh2397" xfId="525"/>
    <cellStyle name="2_Dtdchinh2397_Phụ luc goi 5" xfId="526"/>
    <cellStyle name="2_DTXL goi 11(20-9-05)" xfId="527"/>
    <cellStyle name="2_du toan" xfId="528"/>
    <cellStyle name="2_du toan (03-11-05)" xfId="529"/>
    <cellStyle name="2_Du toan (12-05-2005) Tham dinh" xfId="530"/>
    <cellStyle name="2_Du toan (23-05-2005) Tham dinh" xfId="531"/>
    <cellStyle name="2_Du toan (5 - 04 - 2004)" xfId="532"/>
    <cellStyle name="2_Du toan (6-3-2005)" xfId="533"/>
    <cellStyle name="2_Du toan (Ban A)" xfId="534"/>
    <cellStyle name="2_Du toan (ngay 13 - 07 - 2004)" xfId="535"/>
    <cellStyle name="2_Du toan (ngay 25-9-06)" xfId="536"/>
    <cellStyle name="2_Du toan 558 (Km17+508.12 - Km 22)" xfId="537"/>
    <cellStyle name="2_Du toan 558 (Km17+508.12 - Km 22) 2" xfId="538"/>
    <cellStyle name="2_Du toan 558 (Km17+508.12 - Km 22) 3" xfId="539"/>
    <cellStyle name="2_Du toan 558 (Km17+508.12 - Km 22)_Phụ luc goi 5" xfId="540"/>
    <cellStyle name="2_Du toan bo sung (11-2004)" xfId="541"/>
    <cellStyle name="2_Du toan Cang Vung Ang (Tham tra 3-11-06)" xfId="542"/>
    <cellStyle name="2_Du toan Cang Vung Ang ngay 09-8-06 " xfId="543"/>
    <cellStyle name="2_Du toan dieu chin theo don gia moi (1-2-2007)" xfId="544"/>
    <cellStyle name="2_Du toan Goi 1" xfId="545"/>
    <cellStyle name="2_du toan goi 12" xfId="546"/>
    <cellStyle name="2_Du toan Goi 2" xfId="547"/>
    <cellStyle name="2_Du toan Huong Lam - Ban Giang (ngay28-11-06)" xfId="548"/>
    <cellStyle name="2_Du toan KT-TCsua theo TT 03 - YC 471" xfId="549"/>
    <cellStyle name="2_Du toan ngay (28-10-2005)" xfId="550"/>
    <cellStyle name="2_Du toan ngay 1-9-2004 (version 1)" xfId="551"/>
    <cellStyle name="2_Du toan Phuong lam" xfId="552"/>
    <cellStyle name="2_Du toan QL 27 (23-12-2005)" xfId="553"/>
    <cellStyle name="2_DuAnKT ngay 11-2-2006" xfId="554"/>
    <cellStyle name="2_DUONGNOIVUNG-QTHANG-QLUU" xfId="555"/>
    <cellStyle name="2_goi 1" xfId="556"/>
    <cellStyle name="2_Goi 1 (TT04)" xfId="557"/>
    <cellStyle name="2_goi 1 duyet theo luong mo (an)" xfId="558"/>
    <cellStyle name="2_Goi 1_1" xfId="559"/>
    <cellStyle name="2_Goi so 1" xfId="560"/>
    <cellStyle name="2_Goi thau so 2 (20-6-2006)" xfId="561"/>
    <cellStyle name="2_Goi02(25-05-2006)" xfId="562"/>
    <cellStyle name="2_Goi1N206" xfId="563"/>
    <cellStyle name="2_Goi2N206" xfId="564"/>
    <cellStyle name="2_Goi4N216" xfId="565"/>
    <cellStyle name="2_Goi5N216" xfId="566"/>
    <cellStyle name="2_Gia goi 1" xfId="567"/>
    <cellStyle name="2_Gia_VL cau-JIBIC-Ha-tinh" xfId="568"/>
    <cellStyle name="2_Gia_VLQL48_duyet " xfId="569"/>
    <cellStyle name="2_Gia_VLQL48_duyet _Phụ luc goi 5" xfId="570"/>
    <cellStyle name="2_Hoi Song" xfId="571"/>
    <cellStyle name="2_HT-LO" xfId="572"/>
    <cellStyle name="2_KL" xfId="573"/>
    <cellStyle name="2_KL goi 1" xfId="574"/>
    <cellStyle name="2_Kl6-6-05" xfId="575"/>
    <cellStyle name="2_Kldoan3" xfId="576"/>
    <cellStyle name="2_Klnutgiao" xfId="577"/>
    <cellStyle name="2_KLPA2s" xfId="578"/>
    <cellStyle name="2_KlQdinhduyet" xfId="579"/>
    <cellStyle name="2_KlQdinhduyet_Phụ luc goi 5" xfId="580"/>
    <cellStyle name="2_KlQL4goi5KCS" xfId="581"/>
    <cellStyle name="2_Kltayth" xfId="582"/>
    <cellStyle name="2_KltaythQDduyet" xfId="583"/>
    <cellStyle name="2_Kluong4-2004" xfId="584"/>
    <cellStyle name="2_Km329-Km350 (7-6)" xfId="585"/>
    <cellStyle name="2_Km4-Km8+800" xfId="586"/>
    <cellStyle name="2_Khoi luong" xfId="587"/>
    <cellStyle name="2_Khoi luong doan 1" xfId="588"/>
    <cellStyle name="2_Khoi luong doan 2" xfId="589"/>
    <cellStyle name="2_Khoi luong goi 1-QL4D" xfId="590"/>
    <cellStyle name="2_Khoi Luong Hoang Truong - Hoang Phu" xfId="591"/>
    <cellStyle name="2_Khoi luong QL8B" xfId="592"/>
    <cellStyle name="2_Long_Lien_Phuong_BVTC" xfId="593"/>
    <cellStyle name="2_Luong A6" xfId="594"/>
    <cellStyle name="2_maugiacotaluy" xfId="595"/>
    <cellStyle name="2_My Thanh Son Thanh" xfId="596"/>
    <cellStyle name="2_Nhom I" xfId="597"/>
    <cellStyle name="2_Project N.Du" xfId="598"/>
    <cellStyle name="2_Project N.Du.dien" xfId="599"/>
    <cellStyle name="2_Project QL4" xfId="600"/>
    <cellStyle name="2_Project QL4 goi 7" xfId="601"/>
    <cellStyle name="2_Project QL4 goi5" xfId="602"/>
    <cellStyle name="2_Project QL4 goi8" xfId="603"/>
    <cellStyle name="2_QL1A-SUA2005" xfId="604"/>
    <cellStyle name="2_Sheet1" xfId="605"/>
    <cellStyle name="2_SuoiTon" xfId="606"/>
    <cellStyle name="2_t" xfId="607"/>
    <cellStyle name="2_Tay THoa" xfId="608"/>
    <cellStyle name="2_Tinh KLHC goi 1" xfId="609"/>
    <cellStyle name="2_tmthiet ke" xfId="610"/>
    <cellStyle name="2_tmthiet ke1" xfId="611"/>
    <cellStyle name="2_Tong hop DT dieu chinh duong 38-95" xfId="612"/>
    <cellStyle name="2_tong hop kl nen mat" xfId="613"/>
    <cellStyle name="2_Tong hop khoi luong duong 557 (30-5-2006)" xfId="614"/>
    <cellStyle name="2_Tong muc dau tu" xfId="615"/>
    <cellStyle name="2_Tong muc KT 20-11 Tan Huong Tuyen2" xfId="616"/>
    <cellStyle name="2_Tuyen so 1-Km0+00 - Km0+852.56" xfId="617"/>
    <cellStyle name="2_TV sua ngay 02-08-06" xfId="618"/>
    <cellStyle name="2_Tham tra (8-11)1" xfId="619"/>
    <cellStyle name="2_THKLsua_cuoi" xfId="620"/>
    <cellStyle name="2_TRUNG PMU 5" xfId="621"/>
    <cellStyle name="2_VatLieu 3 cau -NA" xfId="622"/>
    <cellStyle name="2_Yen Na - Yen Tinh  du an 30 -10-2006- Theo 51 bu may" xfId="623"/>
    <cellStyle name="2_Yen Na - Yen Tinh Theo 51 bu may Ghep" xfId="624"/>
    <cellStyle name="2_Yen Na - Yen Tinh Theo 51 -TV NA Ghep" xfId="625"/>
    <cellStyle name="2_Yen Na-Yen Tinh 07" xfId="626"/>
    <cellStyle name="2_ÿÿÿÿÿ" xfId="627"/>
    <cellStyle name="2_ÿÿÿÿÿ_1" xfId="628"/>
    <cellStyle name="2_ÿÿÿÿÿ_Bao cao thang G1" xfId="629"/>
    <cellStyle name="2_ÿÿÿÿÿ_Book1" xfId="630"/>
    <cellStyle name="2_ÿÿÿÿÿ_Book1_Phụ luc goi 5" xfId="631"/>
    <cellStyle name="2_ÿÿÿÿÿ_Don gia Goi thau so 1 (872)" xfId="632"/>
    <cellStyle name="2_ÿÿÿÿÿ_DTduong-goi1" xfId="633"/>
    <cellStyle name="2_ÿÿÿÿÿ_dutoanLCSP04-km0-5-goi1 (Ban 5 sua 24-8)" xfId="634"/>
    <cellStyle name="2_ÿÿÿÿÿ_Tinh KLHC goi 1" xfId="635"/>
    <cellStyle name="2_ÿÿÿÿÿ_Tong hop DT dieu chinh duong 38-95" xfId="636"/>
    <cellStyle name="20" xfId="637"/>
    <cellStyle name="20% - Accent1 2" xfId="638"/>
    <cellStyle name="20% - Accent2 2" xfId="639"/>
    <cellStyle name="20% - Accent3 2" xfId="640"/>
    <cellStyle name="20% - Accent4 2" xfId="641"/>
    <cellStyle name="20% - Accent5 2" xfId="642"/>
    <cellStyle name="20% - Accent6 2" xfId="643"/>
    <cellStyle name="20% - Nhấn1" xfId="644"/>
    <cellStyle name="20% - Nhấn2" xfId="645"/>
    <cellStyle name="20% - Nhấn3" xfId="646"/>
    <cellStyle name="20% - Nhấn4" xfId="647"/>
    <cellStyle name="20% - Nhấn5" xfId="648"/>
    <cellStyle name="20% - Nhấn6" xfId="649"/>
    <cellStyle name="3" xfId="650"/>
    <cellStyle name="3_0D5B6000" xfId="651"/>
    <cellStyle name="3_6.Bang_luong_moi_XDCB" xfId="652"/>
    <cellStyle name="3_A che do KS +chi BQL" xfId="653"/>
    <cellStyle name="3_BANG CAM COC GPMB 8km" xfId="654"/>
    <cellStyle name="3_Bang tong hop khoi luong" xfId="655"/>
    <cellStyle name="3_BC thang" xfId="656"/>
    <cellStyle name="3_Book1" xfId="657"/>
    <cellStyle name="3_Book1_02-07 Tuyen chinh" xfId="658"/>
    <cellStyle name="3_Book1_02-07Tuyen Nhanh" xfId="659"/>
    <cellStyle name="3_Book1_1" xfId="660"/>
    <cellStyle name="3_Book1_1_Phụ luc goi 5" xfId="661"/>
    <cellStyle name="3_Book1_BC thang" xfId="662"/>
    <cellStyle name="3_Book1_Book1" xfId="663"/>
    <cellStyle name="3_Book1_Cau Hoa Son Km 1+441.06 (14-12-2006)" xfId="664"/>
    <cellStyle name="3_Book1_Cau Hoa Son Km 1+441.06 (22-10-2006)" xfId="665"/>
    <cellStyle name="3_Book1_Cau Hoa Son Km 1+441.06 (24-10-2006)" xfId="666"/>
    <cellStyle name="3_Book1_Cau Nam Tot(ngay 2-10-2006)" xfId="667"/>
    <cellStyle name="3_Book1_CAU XOP XANG II(su­a)" xfId="668"/>
    <cellStyle name="3_Book1_Dieu phoi dat goi 1" xfId="669"/>
    <cellStyle name="3_Book1_Dieu phoi dat goi 2" xfId="670"/>
    <cellStyle name="3_Book1_DT 27-9-2006 nop SKH" xfId="671"/>
    <cellStyle name="3_Book1_DT Kha thi ngay 11-2-06" xfId="672"/>
    <cellStyle name="3_Book1_DT ngay 04-01-2006" xfId="673"/>
    <cellStyle name="3_Book1_DT ngay 11-4-2006" xfId="674"/>
    <cellStyle name="3_Book1_DT ngay 15-11-05" xfId="675"/>
    <cellStyle name="3_Book1_DT theo DM24" xfId="676"/>
    <cellStyle name="3_Book1_DT Yen Na - Yen Tinh Theo 51 bu may CT8" xfId="677"/>
    <cellStyle name="3_Book1_Du toan KT-TCsua theo TT 03 - YC 471" xfId="678"/>
    <cellStyle name="3_Book1_Du toan Phuong lam" xfId="679"/>
    <cellStyle name="3_Book1_Du toan QL 27 (23-12-2005)" xfId="680"/>
    <cellStyle name="3_Book1_DuAnKT ngay 11-2-2006" xfId="681"/>
    <cellStyle name="3_Book1_Goi 1" xfId="682"/>
    <cellStyle name="3_Book1_Goi thau so 2 (20-6-2006)" xfId="683"/>
    <cellStyle name="3_Book1_Goi02(25-05-2006)" xfId="684"/>
    <cellStyle name="3_Book1_K C N - HUNG DONG L.NHUA" xfId="685"/>
    <cellStyle name="3_Book1_KLdao chuan" xfId="686"/>
    <cellStyle name="3_Book1_Khoi Luong Hoang Truong - Hoang Phu" xfId="687"/>
    <cellStyle name="3_Book1_Muong TL" xfId="688"/>
    <cellStyle name="3_Book1_Sua -  Nam Cam 07" xfId="689"/>
    <cellStyle name="3_Book1_T4-nhanh1(17-6)" xfId="690"/>
    <cellStyle name="3_Book1_Tong muc KT 20-11 Tan Huong Tuyen2" xfId="691"/>
    <cellStyle name="3_Book1_Tuyen so 1-Km0+00 - Km0+852.56" xfId="692"/>
    <cellStyle name="3_Book1_TV sua ngay 02-08-06" xfId="693"/>
    <cellStyle name="3_Book1_xop nhi Gia Q4( 7-3-07)" xfId="694"/>
    <cellStyle name="3_Book1_Yen Na-Yen Tinh 07" xfId="695"/>
    <cellStyle name="3_Book1_Yen Na-Yen tinh 11" xfId="696"/>
    <cellStyle name="3_Book1_ÿÿÿÿÿ" xfId="697"/>
    <cellStyle name="3_C" xfId="698"/>
    <cellStyle name="3_Cau Hoi 115" xfId="699"/>
    <cellStyle name="3_Cau Hua Trai (TT 04)" xfId="700"/>
    <cellStyle name="3_Cau Nam Tot(ngay 2-10-2006)" xfId="701"/>
    <cellStyle name="3_Cau Thanh Ha 1" xfId="702"/>
    <cellStyle name="3_Cau thuy dien Ban La (Cu Anh)" xfId="703"/>
    <cellStyle name="3_Cau thuy dien Ban La (Cu Anh) 2" xfId="704"/>
    <cellStyle name="3_Cau thuy dien Ban La (Cu Anh) 3" xfId="705"/>
    <cellStyle name="3_Cau thuy dien Ban La (Cu Anh)_Phụ luc goi 5" xfId="706"/>
    <cellStyle name="3_CAU XOP XANG II(su­a)" xfId="707"/>
    <cellStyle name="3_cong" xfId="708"/>
    <cellStyle name="3_cuong sua 9.10" xfId="709"/>
    <cellStyle name="3_Chau Thon - Tan Xuan (KCS 8-12-06)" xfId="710"/>
    <cellStyle name="3_Chi phi KS" xfId="711"/>
    <cellStyle name="3_Dakt-Cau tinh Hua Phan" xfId="712"/>
    <cellStyle name="3_DIEN" xfId="713"/>
    <cellStyle name="3_Dieu phoi dat goi 1" xfId="714"/>
    <cellStyle name="3_Dieu phoi dat goi 2" xfId="715"/>
    <cellStyle name="3_Dinh muc thiet ke" xfId="716"/>
    <cellStyle name="3_DONGIA" xfId="717"/>
    <cellStyle name="3_DT KS Cam LAc-10-05-07" xfId="718"/>
    <cellStyle name="3_DT KT ngay 10-9-2005" xfId="719"/>
    <cellStyle name="3_DT Kha thi ngay 11-2-06" xfId="720"/>
    <cellStyle name="3_DT ngay 04-01-2006" xfId="721"/>
    <cellStyle name="3_DT ngay 11-4-2006" xfId="722"/>
    <cellStyle name="3_DT ngay 15-11-05" xfId="723"/>
    <cellStyle name="3_DT theo DM24" xfId="724"/>
    <cellStyle name="3_DT Yen Na - Yen Tinh Theo 51 bu may CT8" xfId="725"/>
    <cellStyle name="3_Dtdchinh2397" xfId="726"/>
    <cellStyle name="3_Dtdchinh2397_Phụ luc goi 5" xfId="727"/>
    <cellStyle name="3_DTXL goi 11(20-9-05)" xfId="728"/>
    <cellStyle name="3_du toan" xfId="729"/>
    <cellStyle name="3_du toan (03-11-05)" xfId="730"/>
    <cellStyle name="3_Du toan (12-05-2005) Tham dinh" xfId="731"/>
    <cellStyle name="3_Du toan (23-05-2005) Tham dinh" xfId="732"/>
    <cellStyle name="3_Du toan (5 - 04 - 2004)" xfId="733"/>
    <cellStyle name="3_Du toan (6-3-2005)" xfId="734"/>
    <cellStyle name="3_Du toan (Ban A)" xfId="735"/>
    <cellStyle name="3_Du toan (ngay 13 - 07 - 2004)" xfId="736"/>
    <cellStyle name="3_Du toan (ngay 25-9-06)" xfId="737"/>
    <cellStyle name="3_Du toan 558 (Km17+508.12 - Km 22)" xfId="738"/>
    <cellStyle name="3_Du toan 558 (Km17+508.12 - Km 22) 2" xfId="739"/>
    <cellStyle name="3_Du toan 558 (Km17+508.12 - Km 22) 3" xfId="740"/>
    <cellStyle name="3_Du toan 558 (Km17+508.12 - Km 22)_Phụ luc goi 5" xfId="741"/>
    <cellStyle name="3_Du toan bo sung (11-2004)" xfId="742"/>
    <cellStyle name="3_Du toan Cang Vung Ang (Tham tra 3-11-06)" xfId="743"/>
    <cellStyle name="3_Du toan Cang Vung Ang ngay 09-8-06 " xfId="744"/>
    <cellStyle name="3_Du toan dieu chin theo don gia moi (1-2-2007)" xfId="745"/>
    <cellStyle name="3_Du toan Goi 1" xfId="746"/>
    <cellStyle name="3_du toan goi 12" xfId="747"/>
    <cellStyle name="3_Du toan Goi 2" xfId="748"/>
    <cellStyle name="3_Du toan Huong Lam - Ban Giang (ngay28-11-06)" xfId="749"/>
    <cellStyle name="3_Du toan KT-TCsua theo TT 03 - YC 471" xfId="750"/>
    <cellStyle name="3_Du toan ngay (28-10-2005)" xfId="751"/>
    <cellStyle name="3_Du toan ngay 1-9-2004 (version 1)" xfId="752"/>
    <cellStyle name="3_Du toan Phuong lam" xfId="753"/>
    <cellStyle name="3_Du toan QL 27 (23-12-2005)" xfId="754"/>
    <cellStyle name="3_DuAnKT ngay 11-2-2006" xfId="755"/>
    <cellStyle name="3_DUONGNOIVUNG-QTHANG-QLUU" xfId="756"/>
    <cellStyle name="3_goi 1" xfId="757"/>
    <cellStyle name="3_Goi 1 (TT04)" xfId="758"/>
    <cellStyle name="3_goi 1 duyet theo luong mo (an)" xfId="759"/>
    <cellStyle name="3_Goi 1_1" xfId="760"/>
    <cellStyle name="3_Goi so 1" xfId="761"/>
    <cellStyle name="3_Goi thau so 2 (20-6-2006)" xfId="762"/>
    <cellStyle name="3_Goi02(25-05-2006)" xfId="763"/>
    <cellStyle name="3_Goi1N206" xfId="764"/>
    <cellStyle name="3_Goi2N206" xfId="765"/>
    <cellStyle name="3_Goi4N216" xfId="766"/>
    <cellStyle name="3_Goi5N216" xfId="767"/>
    <cellStyle name="3_Gia goi 1" xfId="768"/>
    <cellStyle name="3_Gia_VL cau-JIBIC-Ha-tinh" xfId="769"/>
    <cellStyle name="3_Gia_VLQL48_duyet " xfId="770"/>
    <cellStyle name="3_Gia_VLQL48_duyet _Phụ luc goi 5" xfId="771"/>
    <cellStyle name="3_Hoi Song" xfId="772"/>
    <cellStyle name="3_HT-LO" xfId="773"/>
    <cellStyle name="3_KL" xfId="774"/>
    <cellStyle name="3_KL goi 1" xfId="775"/>
    <cellStyle name="3_Kl6-6-05" xfId="776"/>
    <cellStyle name="3_Kldoan3" xfId="777"/>
    <cellStyle name="3_Klnutgiao" xfId="778"/>
    <cellStyle name="3_KLPA2s" xfId="779"/>
    <cellStyle name="3_KlQdinhduyet" xfId="780"/>
    <cellStyle name="3_KlQdinhduyet_Phụ luc goi 5" xfId="781"/>
    <cellStyle name="3_KlQL4goi5KCS" xfId="782"/>
    <cellStyle name="3_Kltayth" xfId="783"/>
    <cellStyle name="3_KltaythQDduyet" xfId="784"/>
    <cellStyle name="3_Kluong4-2004" xfId="785"/>
    <cellStyle name="3_Km329-Km350 (7-6)" xfId="786"/>
    <cellStyle name="3_Km4-Km8+800" xfId="787"/>
    <cellStyle name="3_Khoi luong" xfId="788"/>
    <cellStyle name="3_Khoi luong doan 1" xfId="789"/>
    <cellStyle name="3_Khoi luong doan 2" xfId="790"/>
    <cellStyle name="3_Khoi luong goi 1-QL4D" xfId="791"/>
    <cellStyle name="3_Khoi Luong Hoang Truong - Hoang Phu" xfId="792"/>
    <cellStyle name="3_Khoi luong QL8B" xfId="793"/>
    <cellStyle name="3_Long_Lien_Phuong_BVTC" xfId="794"/>
    <cellStyle name="3_Luong A6" xfId="795"/>
    <cellStyle name="3_maugiacotaluy" xfId="796"/>
    <cellStyle name="3_My Thanh Son Thanh" xfId="797"/>
    <cellStyle name="3_Nhom I" xfId="798"/>
    <cellStyle name="3_Project N.Du" xfId="799"/>
    <cellStyle name="3_Project N.Du.dien" xfId="800"/>
    <cellStyle name="3_Project QL4" xfId="801"/>
    <cellStyle name="3_Project QL4 goi 7" xfId="802"/>
    <cellStyle name="3_Project QL4 goi5" xfId="803"/>
    <cellStyle name="3_Project QL4 goi8" xfId="804"/>
    <cellStyle name="3_QL1A-SUA2005" xfId="805"/>
    <cellStyle name="3_Sheet1" xfId="806"/>
    <cellStyle name="3_SuoiTon" xfId="807"/>
    <cellStyle name="3_t" xfId="808"/>
    <cellStyle name="3_Tay THoa" xfId="809"/>
    <cellStyle name="3_Tinh KLHC goi 1" xfId="810"/>
    <cellStyle name="3_tmthiet ke" xfId="811"/>
    <cellStyle name="3_tmthiet ke1" xfId="812"/>
    <cellStyle name="3_Tong hop DT dieu chinh duong 38-95" xfId="813"/>
    <cellStyle name="3_tong hop kl nen mat" xfId="814"/>
    <cellStyle name="3_Tong hop khoi luong duong 557 (30-5-2006)" xfId="815"/>
    <cellStyle name="3_Tong muc dau tu" xfId="816"/>
    <cellStyle name="3_Tong muc KT 20-11 Tan Huong Tuyen2" xfId="817"/>
    <cellStyle name="3_Tuyen so 1-Km0+00 - Km0+852.56" xfId="818"/>
    <cellStyle name="3_TV sua ngay 02-08-06" xfId="819"/>
    <cellStyle name="3_Tham tra (8-11)1" xfId="820"/>
    <cellStyle name="3_THKLsua_cuoi" xfId="821"/>
    <cellStyle name="3_VatLieu 3 cau -NA" xfId="822"/>
    <cellStyle name="3_Yen Na - Yen Tinh  du an 30 -10-2006- Theo 51 bu may" xfId="823"/>
    <cellStyle name="3_Yen Na - Yen Tinh Theo 51 bu may Ghep" xfId="824"/>
    <cellStyle name="3_Yen Na - Yen Tinh Theo 51 -TV NA Ghep" xfId="825"/>
    <cellStyle name="3_Yen Na-Yen Tinh 07" xfId="826"/>
    <cellStyle name="3_ÿÿÿÿÿ" xfId="827"/>
    <cellStyle name="3_ÿÿÿÿÿ_1" xfId="828"/>
    <cellStyle name="4" xfId="829"/>
    <cellStyle name="4_0D5B6000" xfId="830"/>
    <cellStyle name="4_6.Bang_luong_moi_XDCB" xfId="831"/>
    <cellStyle name="4_A che do KS +chi BQL" xfId="832"/>
    <cellStyle name="4_BANG CAM COC GPMB 8km" xfId="833"/>
    <cellStyle name="4_Bang tong hop khoi luong" xfId="834"/>
    <cellStyle name="4_BC thang" xfId="835"/>
    <cellStyle name="4_Book1" xfId="836"/>
    <cellStyle name="4_Book1_02-07 Tuyen chinh" xfId="837"/>
    <cellStyle name="4_Book1_02-07Tuyen Nhanh" xfId="838"/>
    <cellStyle name="4_Book1_1" xfId="839"/>
    <cellStyle name="4_Book1_1_Phụ luc goi 5" xfId="840"/>
    <cellStyle name="4_Book1_BC thang" xfId="841"/>
    <cellStyle name="4_Book1_Book1" xfId="842"/>
    <cellStyle name="4_Book1_Cau Hoa Son Km 1+441.06 (14-12-2006)" xfId="843"/>
    <cellStyle name="4_Book1_Cau Hoa Son Km 1+441.06 (22-10-2006)" xfId="844"/>
    <cellStyle name="4_Book1_Cau Hoa Son Km 1+441.06 (24-10-2006)" xfId="845"/>
    <cellStyle name="4_Book1_Cau Nam Tot(ngay 2-10-2006)" xfId="846"/>
    <cellStyle name="4_Book1_CAU XOP XANG II(su­a)" xfId="847"/>
    <cellStyle name="4_Book1_Dieu phoi dat goi 1" xfId="848"/>
    <cellStyle name="4_Book1_Dieu phoi dat goi 2" xfId="849"/>
    <cellStyle name="4_Book1_DT 27-9-2006 nop SKH" xfId="850"/>
    <cellStyle name="4_Book1_DT Kha thi ngay 11-2-06" xfId="851"/>
    <cellStyle name="4_Book1_DT ngay 04-01-2006" xfId="852"/>
    <cellStyle name="4_Book1_DT ngay 11-4-2006" xfId="853"/>
    <cellStyle name="4_Book1_DT ngay 15-11-05" xfId="854"/>
    <cellStyle name="4_Book1_DT theo DM24" xfId="855"/>
    <cellStyle name="4_Book1_DT Yen Na - Yen Tinh Theo 51 bu may CT8" xfId="856"/>
    <cellStyle name="4_Book1_Du toan KT-TCsua theo TT 03 - YC 471" xfId="857"/>
    <cellStyle name="4_Book1_Du toan Phuong lam" xfId="858"/>
    <cellStyle name="4_Book1_Du toan QL 27 (23-12-2005)" xfId="859"/>
    <cellStyle name="4_Book1_DuAnKT ngay 11-2-2006" xfId="860"/>
    <cellStyle name="4_Book1_Goi 1" xfId="861"/>
    <cellStyle name="4_Book1_Goi thau so 2 (20-6-2006)" xfId="862"/>
    <cellStyle name="4_Book1_Goi02(25-05-2006)" xfId="863"/>
    <cellStyle name="4_Book1_K C N - HUNG DONG L.NHUA" xfId="864"/>
    <cellStyle name="4_Book1_KLdao chuan" xfId="865"/>
    <cellStyle name="4_Book1_Khoi Luong Hoang Truong - Hoang Phu" xfId="866"/>
    <cellStyle name="4_Book1_Muong TL" xfId="867"/>
    <cellStyle name="4_Book1_Sua -  Nam Cam 07" xfId="868"/>
    <cellStyle name="4_Book1_T4-nhanh1(17-6)" xfId="869"/>
    <cellStyle name="4_Book1_Tong muc KT 20-11 Tan Huong Tuyen2" xfId="870"/>
    <cellStyle name="4_Book1_Tuyen so 1-Km0+00 - Km0+852.56" xfId="871"/>
    <cellStyle name="4_Book1_TV sua ngay 02-08-06" xfId="872"/>
    <cellStyle name="4_Book1_xop nhi Gia Q4( 7-3-07)" xfId="873"/>
    <cellStyle name="4_Book1_Yen Na-Yen Tinh 07" xfId="874"/>
    <cellStyle name="4_Book1_Yen Na-Yen tinh 11" xfId="875"/>
    <cellStyle name="4_Book1_ÿÿÿÿÿ" xfId="876"/>
    <cellStyle name="4_C" xfId="877"/>
    <cellStyle name="4_Cau Hoi 115" xfId="878"/>
    <cellStyle name="4_Cau Hua Trai (TT 04)" xfId="879"/>
    <cellStyle name="4_Cau Nam Tot(ngay 2-10-2006)" xfId="880"/>
    <cellStyle name="4_Cau Thanh Ha 1" xfId="881"/>
    <cellStyle name="4_Cau thuy dien Ban La (Cu Anh)" xfId="882"/>
    <cellStyle name="4_Cau thuy dien Ban La (Cu Anh) 2" xfId="883"/>
    <cellStyle name="4_Cau thuy dien Ban La (Cu Anh) 3" xfId="884"/>
    <cellStyle name="4_Cau thuy dien Ban La (Cu Anh)_Phụ luc goi 5" xfId="885"/>
    <cellStyle name="4_CAU XOP XANG II(su­a)" xfId="886"/>
    <cellStyle name="4_cong" xfId="887"/>
    <cellStyle name="4_cuong sua 9.10" xfId="888"/>
    <cellStyle name="4_Chau Thon - Tan Xuan (KCS 8-12-06)" xfId="889"/>
    <cellStyle name="4_Chi phi KS" xfId="890"/>
    <cellStyle name="4_Dakt-Cau tinh Hua Phan" xfId="891"/>
    <cellStyle name="4_DIEN" xfId="892"/>
    <cellStyle name="4_Dieu phoi dat goi 1" xfId="893"/>
    <cellStyle name="4_Dieu phoi dat goi 2" xfId="894"/>
    <cellStyle name="4_Dinh muc thiet ke" xfId="895"/>
    <cellStyle name="4_DONGIA" xfId="896"/>
    <cellStyle name="4_DT KS Cam LAc-10-05-07" xfId="897"/>
    <cellStyle name="4_DT KT ngay 10-9-2005" xfId="898"/>
    <cellStyle name="4_DT Kha thi ngay 11-2-06" xfId="899"/>
    <cellStyle name="4_DT ngay 04-01-2006" xfId="900"/>
    <cellStyle name="4_DT ngay 11-4-2006" xfId="901"/>
    <cellStyle name="4_DT ngay 15-11-05" xfId="902"/>
    <cellStyle name="4_DT theo DM24" xfId="903"/>
    <cellStyle name="4_DT Yen Na - Yen Tinh Theo 51 bu may CT8" xfId="904"/>
    <cellStyle name="4_Dtdchinh2397" xfId="905"/>
    <cellStyle name="4_Dtdchinh2397_Phụ luc goi 5" xfId="906"/>
    <cellStyle name="4_DTXL goi 11(20-9-05)" xfId="907"/>
    <cellStyle name="4_du toan" xfId="908"/>
    <cellStyle name="4_du toan (03-11-05)" xfId="909"/>
    <cellStyle name="4_Du toan (12-05-2005) Tham dinh" xfId="910"/>
    <cellStyle name="4_Du toan (23-05-2005) Tham dinh" xfId="911"/>
    <cellStyle name="4_Du toan (5 - 04 - 2004)" xfId="912"/>
    <cellStyle name="4_Du toan (6-3-2005)" xfId="913"/>
    <cellStyle name="4_Du toan (Ban A)" xfId="914"/>
    <cellStyle name="4_Du toan (ngay 13 - 07 - 2004)" xfId="915"/>
    <cellStyle name="4_Du toan (ngay 25-9-06)" xfId="916"/>
    <cellStyle name="4_Du toan 558 (Km17+508.12 - Km 22)" xfId="917"/>
    <cellStyle name="4_Du toan 558 (Km17+508.12 - Km 22) 2" xfId="918"/>
    <cellStyle name="4_Du toan 558 (Km17+508.12 - Km 22) 3" xfId="919"/>
    <cellStyle name="4_Du toan 558 (Km17+508.12 - Km 22)_Phụ luc goi 5" xfId="920"/>
    <cellStyle name="4_Du toan bo sung (11-2004)" xfId="921"/>
    <cellStyle name="4_Du toan Cang Vung Ang (Tham tra 3-11-06)" xfId="922"/>
    <cellStyle name="4_Du toan Cang Vung Ang ngay 09-8-06 " xfId="923"/>
    <cellStyle name="4_Du toan dieu chin theo don gia moi (1-2-2007)" xfId="924"/>
    <cellStyle name="4_Du toan Goi 1" xfId="925"/>
    <cellStyle name="4_du toan goi 12" xfId="926"/>
    <cellStyle name="4_Du toan Goi 2" xfId="927"/>
    <cellStyle name="4_Du toan Huong Lam - Ban Giang (ngay28-11-06)" xfId="928"/>
    <cellStyle name="4_Du toan KT-TCsua theo TT 03 - YC 471" xfId="929"/>
    <cellStyle name="4_Du toan ngay (28-10-2005)" xfId="930"/>
    <cellStyle name="4_Du toan ngay 1-9-2004 (version 1)" xfId="931"/>
    <cellStyle name="4_Du toan Phuong lam" xfId="932"/>
    <cellStyle name="4_Du toan QL 27 (23-12-2005)" xfId="933"/>
    <cellStyle name="4_DuAnKT ngay 11-2-2006" xfId="934"/>
    <cellStyle name="4_DUONGNOIVUNG-QTHANG-QLUU" xfId="935"/>
    <cellStyle name="4_goi 1" xfId="936"/>
    <cellStyle name="4_Goi 1 (TT04)" xfId="937"/>
    <cellStyle name="4_goi 1 duyet theo luong mo (an)" xfId="938"/>
    <cellStyle name="4_Goi 1_1" xfId="939"/>
    <cellStyle name="4_Goi so 1" xfId="940"/>
    <cellStyle name="4_Goi thau so 2 (20-6-2006)" xfId="941"/>
    <cellStyle name="4_Goi02(25-05-2006)" xfId="942"/>
    <cellStyle name="4_Goi1N206" xfId="943"/>
    <cellStyle name="4_Goi2N206" xfId="944"/>
    <cellStyle name="4_Goi4N216" xfId="945"/>
    <cellStyle name="4_Goi5N216" xfId="946"/>
    <cellStyle name="4_Gia goi 1" xfId="947"/>
    <cellStyle name="4_Gia_VL cau-JIBIC-Ha-tinh" xfId="948"/>
    <cellStyle name="4_Gia_VLQL48_duyet " xfId="949"/>
    <cellStyle name="4_Gia_VLQL48_duyet _Phụ luc goi 5" xfId="950"/>
    <cellStyle name="4_Hoi Song" xfId="951"/>
    <cellStyle name="4_HT-LO" xfId="952"/>
    <cellStyle name="4_KL" xfId="953"/>
    <cellStyle name="4_KL goi 1" xfId="954"/>
    <cellStyle name="4_Kl6-6-05" xfId="955"/>
    <cellStyle name="4_Kldoan3" xfId="956"/>
    <cellStyle name="4_Klnutgiao" xfId="957"/>
    <cellStyle name="4_KLPA2s" xfId="958"/>
    <cellStyle name="4_KlQdinhduyet" xfId="959"/>
    <cellStyle name="4_KlQdinhduyet_Phụ luc goi 5" xfId="960"/>
    <cellStyle name="4_KlQL4goi5KCS" xfId="961"/>
    <cellStyle name="4_Kltayth" xfId="962"/>
    <cellStyle name="4_KltaythQDduyet" xfId="963"/>
    <cellStyle name="4_Kluong4-2004" xfId="964"/>
    <cellStyle name="4_Km329-Km350 (7-6)" xfId="965"/>
    <cellStyle name="4_Km4-Km8+800" xfId="966"/>
    <cellStyle name="4_Khoi luong" xfId="967"/>
    <cellStyle name="4_Khoi luong doan 1" xfId="968"/>
    <cellStyle name="4_Khoi luong doan 2" xfId="969"/>
    <cellStyle name="4_Khoi luong goi 1-QL4D" xfId="970"/>
    <cellStyle name="4_Khoi Luong Hoang Truong - Hoang Phu" xfId="971"/>
    <cellStyle name="4_Khoi luong QL8B" xfId="972"/>
    <cellStyle name="4_Long_Lien_Phuong_BVTC" xfId="973"/>
    <cellStyle name="4_Luong A6" xfId="974"/>
    <cellStyle name="4_maugiacotaluy" xfId="975"/>
    <cellStyle name="4_My Thanh Son Thanh" xfId="976"/>
    <cellStyle name="4_Nhom I" xfId="977"/>
    <cellStyle name="4_Project N.Du" xfId="978"/>
    <cellStyle name="4_Project N.Du.dien" xfId="979"/>
    <cellStyle name="4_Project QL4" xfId="980"/>
    <cellStyle name="4_Project QL4 goi 7" xfId="981"/>
    <cellStyle name="4_Project QL4 goi5" xfId="982"/>
    <cellStyle name="4_Project QL4 goi8" xfId="983"/>
    <cellStyle name="4_QL1A-SUA2005" xfId="984"/>
    <cellStyle name="4_Sheet1" xfId="985"/>
    <cellStyle name="4_SuoiTon" xfId="986"/>
    <cellStyle name="4_t" xfId="987"/>
    <cellStyle name="4_Tay THoa" xfId="988"/>
    <cellStyle name="4_Tinh KLHC goi 1" xfId="989"/>
    <cellStyle name="4_tmthiet ke" xfId="990"/>
    <cellStyle name="4_tmthiet ke1" xfId="991"/>
    <cellStyle name="4_Tong hop DT dieu chinh duong 38-95" xfId="992"/>
    <cellStyle name="4_tong hop kl nen mat" xfId="993"/>
    <cellStyle name="4_Tong hop khoi luong duong 557 (30-5-2006)" xfId="994"/>
    <cellStyle name="4_Tong muc dau tu" xfId="995"/>
    <cellStyle name="4_Tong muc KT 20-11 Tan Huong Tuyen2" xfId="996"/>
    <cellStyle name="4_Tuyen so 1-Km0+00 - Km0+852.56" xfId="997"/>
    <cellStyle name="4_TV sua ngay 02-08-06" xfId="998"/>
    <cellStyle name="4_Tham tra (8-11)1" xfId="999"/>
    <cellStyle name="4_THKLsua_cuoi" xfId="1000"/>
    <cellStyle name="4_VatLieu 3 cau -NA" xfId="1001"/>
    <cellStyle name="4_Yen Na - Yen Tinh  du an 30 -10-2006- Theo 51 bu may" xfId="1002"/>
    <cellStyle name="4_Yen Na - Yen Tinh Theo 51 bu may Ghep" xfId="1003"/>
    <cellStyle name="4_Yen Na - Yen Tinh Theo 51 -TV NA Ghep" xfId="1004"/>
    <cellStyle name="4_Yen Na-Yen Tinh 07" xfId="1005"/>
    <cellStyle name="4_ÿÿÿÿÿ" xfId="1006"/>
    <cellStyle name="4_ÿÿÿÿÿ_1" xfId="1007"/>
    <cellStyle name="40% - Accent1 2" xfId="1008"/>
    <cellStyle name="40% - Accent2 2" xfId="1009"/>
    <cellStyle name="40% - Accent3 2" xfId="1010"/>
    <cellStyle name="40% - Accent4 2" xfId="1011"/>
    <cellStyle name="40% - Accent5 2" xfId="1012"/>
    <cellStyle name="40% - Accent6 2" xfId="1013"/>
    <cellStyle name="40% - Nhấn1" xfId="1014"/>
    <cellStyle name="40% - Nhấn2" xfId="1015"/>
    <cellStyle name="40% - Nhấn3" xfId="1016"/>
    <cellStyle name="40% - Nhấn4" xfId="1017"/>
    <cellStyle name="40% - Nhấn5" xfId="1018"/>
    <cellStyle name="40% - Nhấn6" xfId="1019"/>
    <cellStyle name="6" xfId="1020"/>
    <cellStyle name="6_Book1" xfId="1021"/>
    <cellStyle name="6_Book1_1" xfId="1022"/>
    <cellStyle name="6_Book1_Tuyen (21-7-11)-doan 1" xfId="1023"/>
    <cellStyle name="6_Du toan du thau Cautreo" xfId="1024"/>
    <cellStyle name="6_Phụ luc goi 5" xfId="1025"/>
    <cellStyle name="6_TDT 3 xa VA chinh thuc" xfId="1026"/>
    <cellStyle name="6_TDT-TMDT 3 xa VA dich" xfId="1027"/>
    <cellStyle name="6_Tuyen (20-6-11 PA 2)" xfId="1028"/>
    <cellStyle name="60% - Accent1 2" xfId="1029"/>
    <cellStyle name="60% - Accent2 2" xfId="1030"/>
    <cellStyle name="60% - Accent3 2" xfId="1031"/>
    <cellStyle name="60% - Accent4 2" xfId="1032"/>
    <cellStyle name="60% - Accent5 2" xfId="1033"/>
    <cellStyle name="60% - Accent6 2" xfId="1034"/>
    <cellStyle name="60% - Nhấn1" xfId="1035"/>
    <cellStyle name="60% - Nhấn2" xfId="1036"/>
    <cellStyle name="60% - Nhấn3" xfId="1037"/>
    <cellStyle name="60% - Nhấn4" xfId="1038"/>
    <cellStyle name="60% - Nhấn5" xfId="1039"/>
    <cellStyle name="60% - Nhấn6" xfId="1040"/>
    <cellStyle name="a" xfId="1041"/>
    <cellStyle name="_x0001_Å»_x001e_´ " xfId="1042"/>
    <cellStyle name="_x0001_Å»_x001e_´_" xfId="1043"/>
    <cellStyle name="Accent1 2" xfId="1044"/>
    <cellStyle name="Accent2 2" xfId="1045"/>
    <cellStyle name="Accent3 2" xfId="1046"/>
    <cellStyle name="Accent4 2" xfId="1047"/>
    <cellStyle name="Accent5 2" xfId="1048"/>
    <cellStyle name="Accent6 2" xfId="1049"/>
    <cellStyle name="ÅëÈ­" xfId="1050"/>
    <cellStyle name="ÅëÈ­ [0]" xfId="1051"/>
    <cellStyle name="AeE­ [0]_INQUIRY ¿?¾÷AßAø " xfId="1052"/>
    <cellStyle name="ÅëÈ­ [0]_L601CPT" xfId="1053"/>
    <cellStyle name="ÅëÈ­_      " xfId="1054"/>
    <cellStyle name="AeE­_INQUIRY ¿?¾÷AßAø " xfId="1055"/>
    <cellStyle name="ÅëÈ­_L601CPT" xfId="1056"/>
    <cellStyle name="args.style" xfId="1057"/>
    <cellStyle name="arial" xfId="1058"/>
    <cellStyle name="ÄÞ¸¶ [0]" xfId="1059"/>
    <cellStyle name="AÞ¸¶ [0]_INQUIRY ¿?¾÷AßAø " xfId="1060"/>
    <cellStyle name="ÄÞ¸¶ [0]_L601CPT" xfId="1061"/>
    <cellStyle name="ÄÞ¸¶_      " xfId="1062"/>
    <cellStyle name="AÞ¸¶_INQUIRY ¿?¾÷AßAø " xfId="1063"/>
    <cellStyle name="ÄÞ¸¶_L601CPT" xfId="1064"/>
    <cellStyle name="AutoFormat Options" xfId="1065"/>
    <cellStyle name="Bad 2" xfId="1066"/>
    <cellStyle name="Body" xfId="1067"/>
    <cellStyle name="C?AØ_¿?¾÷CoE² " xfId="1068"/>
    <cellStyle name="Ç¥ÁØ_      " xfId="1069"/>
    <cellStyle name="C￥AØ_¿μ¾÷CoE² " xfId="1070"/>
    <cellStyle name="Ç¥ÁØ_±¸¹Ì´ëÃ¥" xfId="1071"/>
    <cellStyle name="C￥AØ_≫c¾÷ºIº° AN°e " xfId="1072"/>
    <cellStyle name="Ç¥ÁØ_S" xfId="1073"/>
    <cellStyle name="C￥AØ_Sheet1_¿μ¾÷CoE² " xfId="1074"/>
    <cellStyle name="Ç¥ÁØ_ÿÿÿÿÿÿ_4_ÃÑÇÕ°è " xfId="1075"/>
    <cellStyle name="Calc Currency (0)" xfId="1076"/>
    <cellStyle name="Calc Currency (0) 2" xfId="1077"/>
    <cellStyle name="Calc Currency (0) 3" xfId="1078"/>
    <cellStyle name="Calc Currency (0)_TH Nguon NTM 2014" xfId="1079"/>
    <cellStyle name="Calc Currency (2)" xfId="1080"/>
    <cellStyle name="Calc Percent (0)" xfId="1081"/>
    <cellStyle name="Calc Percent (1)" xfId="1082"/>
    <cellStyle name="Calc Percent (2)" xfId="1083"/>
    <cellStyle name="Calc Units (0)" xfId="1084"/>
    <cellStyle name="Calc Units (1)" xfId="1085"/>
    <cellStyle name="Calc Units (2)" xfId="1086"/>
    <cellStyle name="Calculation 2" xfId="1087"/>
    <cellStyle name="category" xfId="1088"/>
    <cellStyle name="CC1" xfId="1089"/>
    <cellStyle name="CC2" xfId="1090"/>
    <cellStyle name="Cerrency_Sheet2_XANGDAU" xfId="1091"/>
    <cellStyle name="Comma" xfId="1092" builtinId="3"/>
    <cellStyle name="Comma  - Style1" xfId="1093"/>
    <cellStyle name="Comma  - Style2" xfId="1094"/>
    <cellStyle name="Comma  - Style3" xfId="1095"/>
    <cellStyle name="Comma  - Style4" xfId="1096"/>
    <cellStyle name="Comma  - Style5" xfId="1097"/>
    <cellStyle name="Comma  - Style6" xfId="1098"/>
    <cellStyle name="Comma  - Style7" xfId="1099"/>
    <cellStyle name="Comma  - Style8" xfId="1100"/>
    <cellStyle name="Comma [0] 10" xfId="1101"/>
    <cellStyle name="Comma [0] 11" xfId="1102"/>
    <cellStyle name="Comma [0] 2" xfId="1103"/>
    <cellStyle name="Comma [0] 3" xfId="1104"/>
    <cellStyle name="Comma [0] 4" xfId="1105"/>
    <cellStyle name="Comma [0] 5" xfId="1106"/>
    <cellStyle name="Comma [0] 6" xfId="1107"/>
    <cellStyle name="Comma [0] 7" xfId="1108"/>
    <cellStyle name="Comma [0] 8" xfId="1109"/>
    <cellStyle name="Comma [0] 9" xfId="1110"/>
    <cellStyle name="Comma [00]" xfId="1111"/>
    <cellStyle name="Comma [1]" xfId="1112"/>
    <cellStyle name="Comma [3]" xfId="1113"/>
    <cellStyle name="Comma [4]" xfId="1114"/>
    <cellStyle name="Comma 10" xfId="1115"/>
    <cellStyle name="Comma 10 2" xfId="1116"/>
    <cellStyle name="Comma 11" xfId="1117"/>
    <cellStyle name="Comma 12" xfId="1118"/>
    <cellStyle name="Comma 12 2" xfId="1119"/>
    <cellStyle name="Comma 13" xfId="1120"/>
    <cellStyle name="Comma 13 2" xfId="1121"/>
    <cellStyle name="Comma 14" xfId="1122"/>
    <cellStyle name="Comma 14 2" xfId="1123"/>
    <cellStyle name="Comma 15" xfId="1124"/>
    <cellStyle name="Comma 16" xfId="1125"/>
    <cellStyle name="Comma 16 2" xfId="1126"/>
    <cellStyle name="Comma 17" xfId="1127"/>
    <cellStyle name="Comma 17 2" xfId="1128"/>
    <cellStyle name="Comma 17 3" xfId="1129"/>
    <cellStyle name="Comma 17 4" xfId="1130"/>
    <cellStyle name="Comma 17_TH Nguon NTM 2014" xfId="1131"/>
    <cellStyle name="Comma 18" xfId="1132"/>
    <cellStyle name="Comma 18 2" xfId="1133"/>
    <cellStyle name="Comma 19" xfId="1134"/>
    <cellStyle name="Comma 19 2" xfId="1135"/>
    <cellStyle name="Comma 19 2 2" xfId="1136"/>
    <cellStyle name="Comma 2" xfId="1137"/>
    <cellStyle name="Comma 2 10" xfId="1138"/>
    <cellStyle name="Comma 2 11" xfId="1139"/>
    <cellStyle name="Comma 2 12" xfId="1140"/>
    <cellStyle name="Comma 2 13" xfId="1141"/>
    <cellStyle name="Comma 2 14" xfId="1142"/>
    <cellStyle name="Comma 2 15" xfId="1143"/>
    <cellStyle name="Comma 2 16" xfId="1144"/>
    <cellStyle name="Comma 2 17" xfId="1145"/>
    <cellStyle name="Comma 2 18" xfId="1146"/>
    <cellStyle name="Comma 2 19" xfId="1147"/>
    <cellStyle name="Comma 2 2" xfId="1148"/>
    <cellStyle name="Comma 2 2 2" xfId="1149"/>
    <cellStyle name="Comma 2 20" xfId="1150"/>
    <cellStyle name="Comma 2 21" xfId="1151"/>
    <cellStyle name="Comma 2 22" xfId="1152"/>
    <cellStyle name="Comma 2 23" xfId="1153"/>
    <cellStyle name="Comma 2 24" xfId="1154"/>
    <cellStyle name="Comma 2 25" xfId="1155"/>
    <cellStyle name="Comma 2 26" xfId="1156"/>
    <cellStyle name="Comma 2 27" xfId="1157"/>
    <cellStyle name="Comma 2 28" xfId="1158"/>
    <cellStyle name="Comma 2 29" xfId="1159"/>
    <cellStyle name="Comma 2 3" xfId="1160"/>
    <cellStyle name="Comma 2 30" xfId="1161"/>
    <cellStyle name="Comma 2 31" xfId="1162"/>
    <cellStyle name="Comma 2 32" xfId="1163"/>
    <cellStyle name="Comma 2 33" xfId="1164"/>
    <cellStyle name="Comma 2 34" xfId="1165"/>
    <cellStyle name="Comma 2 35" xfId="1166"/>
    <cellStyle name="Comma 2 36" xfId="1167"/>
    <cellStyle name="Comma 2 37" xfId="1168"/>
    <cellStyle name="Comma 2 38" xfId="1169"/>
    <cellStyle name="Comma 2 39" xfId="1170"/>
    <cellStyle name="Comma 2 4" xfId="1171"/>
    <cellStyle name="Comma 2 40" xfId="1172"/>
    <cellStyle name="Comma 2 41" xfId="1173"/>
    <cellStyle name="Comma 2 42" xfId="1174"/>
    <cellStyle name="Comma 2 43" xfId="1175"/>
    <cellStyle name="Comma 2 44" xfId="1176"/>
    <cellStyle name="Comma 2 45" xfId="1177"/>
    <cellStyle name="Comma 2 46" xfId="1178"/>
    <cellStyle name="Comma 2 47" xfId="1179"/>
    <cellStyle name="Comma 2 48" xfId="1180"/>
    <cellStyle name="Comma 2 5" xfId="1181"/>
    <cellStyle name="Comma 2 5 2" xfId="1182"/>
    <cellStyle name="Comma 2 6" xfId="1183"/>
    <cellStyle name="Comma 2 7" xfId="1184"/>
    <cellStyle name="Comma 2 8" xfId="1185"/>
    <cellStyle name="Comma 2 9" xfId="1186"/>
    <cellStyle name="Comma 2_Bao cao giai ngan NTM" xfId="1187"/>
    <cellStyle name="Comma 20" xfId="1188"/>
    <cellStyle name="Comma 21" xfId="1189"/>
    <cellStyle name="Comma 21 2" xfId="1190"/>
    <cellStyle name="Comma 22" xfId="1191"/>
    <cellStyle name="Comma 23" xfId="1192"/>
    <cellStyle name="Comma 24" xfId="1193"/>
    <cellStyle name="Comma 25" xfId="1194"/>
    <cellStyle name="Comma 26" xfId="1195"/>
    <cellStyle name="Comma 26 2" xfId="1196"/>
    <cellStyle name="Comma 27" xfId="1197"/>
    <cellStyle name="Comma 28" xfId="1198"/>
    <cellStyle name="Comma 29" xfId="1199"/>
    <cellStyle name="Comma 3" xfId="1200"/>
    <cellStyle name="Comma 3 2" xfId="1201"/>
    <cellStyle name="Comma 3 3" xfId="1202"/>
    <cellStyle name="Comma 3 3 2" xfId="1203"/>
    <cellStyle name="Comma 3_Bao cao giai ngan NTM" xfId="1204"/>
    <cellStyle name="Comma 30" xfId="1205"/>
    <cellStyle name="Comma 31" xfId="1206"/>
    <cellStyle name="Comma 4" xfId="1207"/>
    <cellStyle name="Comma 4 2" xfId="1208"/>
    <cellStyle name="Comma 4 3" xfId="1209"/>
    <cellStyle name="Comma 4 4" xfId="1210"/>
    <cellStyle name="Comma 4 5" xfId="1211"/>
    <cellStyle name="Comma 4_Bao cao giai ngan NTM" xfId="1212"/>
    <cellStyle name="Comma 5" xfId="1213"/>
    <cellStyle name="Comma 5 2" xfId="1214"/>
    <cellStyle name="Comma 5_Bao cao giai ngan NTM" xfId="1215"/>
    <cellStyle name="Comma 6" xfId="1216"/>
    <cellStyle name="Comma 6 2" xfId="1217"/>
    <cellStyle name="Comma 6_Bieu tong hop" xfId="1218"/>
    <cellStyle name="Comma 7" xfId="1219"/>
    <cellStyle name="Comma 8" xfId="1220"/>
    <cellStyle name="Comma 9" xfId="1221"/>
    <cellStyle name="comma zerodec" xfId="1222"/>
    <cellStyle name="Comma0" xfId="1223"/>
    <cellStyle name="Comma12" xfId="1224"/>
    <cellStyle name="Comma4" xfId="1225"/>
    <cellStyle name="Copied" xfId="1226"/>
    <cellStyle name="COST1" xfId="1227"/>
    <cellStyle name="Co聭ma_Sheet1" xfId="1228"/>
    <cellStyle name="Cࡵrrency_Sheet1_PRODUCTĠ" xfId="1229"/>
    <cellStyle name="_x0001_CS_x0006_RMO[" xfId="1230"/>
    <cellStyle name="_x0001_CS_x0006_RMO_" xfId="1231"/>
    <cellStyle name="CT1" xfId="1232"/>
    <cellStyle name="CT2" xfId="1233"/>
    <cellStyle name="CT4" xfId="1234"/>
    <cellStyle name="CT5" xfId="1235"/>
    <cellStyle name="ct7" xfId="1236"/>
    <cellStyle name="ct8" xfId="1237"/>
    <cellStyle name="cth1" xfId="1238"/>
    <cellStyle name="Cthuc" xfId="1239"/>
    <cellStyle name="Cthuc1" xfId="1240"/>
    <cellStyle name="Currency [00]" xfId="1241"/>
    <cellStyle name="Currency 2" xfId="1242"/>
    <cellStyle name="Currency0" xfId="1243"/>
    <cellStyle name="Currency1" xfId="1244"/>
    <cellStyle name="chchuyen" xfId="1245"/>
    <cellStyle name="Check Cell 2" xfId="1246"/>
    <cellStyle name="Chi phÝ kh¸c_Book1" xfId="1247"/>
    <cellStyle name="CHUONG" xfId="1248"/>
    <cellStyle name="d" xfId="1249"/>
    <cellStyle name="d%" xfId="1250"/>
    <cellStyle name="d_Phụ luc goi 5" xfId="1251"/>
    <cellStyle name="D1" xfId="1252"/>
    <cellStyle name="Date" xfId="1253"/>
    <cellStyle name="Date Short" xfId="1254"/>
    <cellStyle name="Dezimal [0]_ALLE_ITEMS_280800_EV_NL" xfId="1255"/>
    <cellStyle name="Dezimal_AKE_100N" xfId="1256"/>
    <cellStyle name="Dg" xfId="1257"/>
    <cellStyle name="Dgia" xfId="1258"/>
    <cellStyle name="_x0001_dÏÈ¹ " xfId="1259"/>
    <cellStyle name="_x0001_dÏÈ¹_" xfId="1260"/>
    <cellStyle name="Dollar (zero dec)" xfId="1261"/>
    <cellStyle name="Don gia" xfId="1262"/>
    <cellStyle name="DuToanBXD" xfId="1263"/>
    <cellStyle name="Dziesi?tny [0]_Invoices2001Slovakia" xfId="1264"/>
    <cellStyle name="Dziesi?tny_Invoices2001Slovakia" xfId="1265"/>
    <cellStyle name="Dziesietny [0]_Invoices2001Slovakia" xfId="1266"/>
    <cellStyle name="Dziesiętny [0]_Invoices2001Slovakia" xfId="1267"/>
    <cellStyle name="Dziesietny [0]_Invoices2001Slovakia_Book1" xfId="1268"/>
    <cellStyle name="Dziesiętny [0]_Invoices2001Slovakia_Book1" xfId="1269"/>
    <cellStyle name="Dziesietny [0]_Invoices2001Slovakia_Book1_Tong hop Cac tuyen(9-1-06)" xfId="1270"/>
    <cellStyle name="Dziesiętny [0]_Invoices2001Slovakia_Book1_Tong hop Cac tuyen(9-1-06)" xfId="1271"/>
    <cellStyle name="Dziesietny [0]_Invoices2001Slovakia_KL K.C mat duong" xfId="1272"/>
    <cellStyle name="Dziesiętny [0]_Invoices2001Slovakia_Nhalamviec VTC(25-1-05)" xfId="1273"/>
    <cellStyle name="Dziesietny [0]_Invoices2001Slovakia_TDT KHANH HOA" xfId="1274"/>
    <cellStyle name="Dziesiętny [0]_Invoices2001Slovakia_TDT KHANH HOA" xfId="1275"/>
    <cellStyle name="Dziesietny [0]_Invoices2001Slovakia_TDT KHANH HOA_Tong hop Cac tuyen(9-1-06)" xfId="1276"/>
    <cellStyle name="Dziesiętny [0]_Invoices2001Slovakia_TDT KHANH HOA_Tong hop Cac tuyen(9-1-06)" xfId="1277"/>
    <cellStyle name="Dziesietny [0]_Invoices2001Slovakia_TDT quangngai" xfId="1278"/>
    <cellStyle name="Dziesiętny [0]_Invoices2001Slovakia_TDT quangngai" xfId="1279"/>
    <cellStyle name="Dziesietny [0]_Invoices2001Slovakia_Tong hop Cac tuyen(9-1-06)" xfId="1280"/>
    <cellStyle name="Dziesietny_Invoices2001Slovakia" xfId="1281"/>
    <cellStyle name="Dziesiętny_Invoices2001Slovakia" xfId="1282"/>
    <cellStyle name="Dziesietny_Invoices2001Slovakia_Book1" xfId="1283"/>
    <cellStyle name="Dziesiętny_Invoices2001Slovakia_Book1" xfId="1284"/>
    <cellStyle name="Dziesietny_Invoices2001Slovakia_Book1_Tong hop Cac tuyen(9-1-06)" xfId="1285"/>
    <cellStyle name="Dziesiętny_Invoices2001Slovakia_Book1_Tong hop Cac tuyen(9-1-06)" xfId="1286"/>
    <cellStyle name="Dziesietny_Invoices2001Slovakia_KL K.C mat duong" xfId="1287"/>
    <cellStyle name="Dziesiętny_Invoices2001Slovakia_Nhalamviec VTC(25-1-05)" xfId="1288"/>
    <cellStyle name="Dziesietny_Invoices2001Slovakia_TDT KHANH HOA" xfId="1289"/>
    <cellStyle name="Dziesiętny_Invoices2001Slovakia_TDT KHANH HOA" xfId="1290"/>
    <cellStyle name="Dziesietny_Invoices2001Slovakia_TDT KHANH HOA_Tong hop Cac tuyen(9-1-06)" xfId="1291"/>
    <cellStyle name="Dziesiętny_Invoices2001Slovakia_TDT KHANH HOA_Tong hop Cac tuyen(9-1-06)" xfId="1292"/>
    <cellStyle name="Dziesietny_Invoices2001Slovakia_TDT quangngai" xfId="1293"/>
    <cellStyle name="Dziesiętny_Invoices2001Slovakia_TDT quangngai" xfId="1294"/>
    <cellStyle name="Dziesietny_Invoices2001Slovakia_Tong hop Cac tuyen(9-1-06)" xfId="1295"/>
    <cellStyle name="Đầu ra" xfId="1296"/>
    <cellStyle name="Đầu vào" xfId="1297"/>
    <cellStyle name="Đề mục 1" xfId="1298"/>
    <cellStyle name="Đề mục 2" xfId="1299"/>
    <cellStyle name="Đề mục 3" xfId="1300"/>
    <cellStyle name="Đề mục 4" xfId="1301"/>
    <cellStyle name="e" xfId="1302"/>
    <cellStyle name="eeee" xfId="1303"/>
    <cellStyle name="Enter Currency (0)" xfId="1304"/>
    <cellStyle name="Enter Currency (2)" xfId="1305"/>
    <cellStyle name="Enter Units (0)" xfId="1306"/>
    <cellStyle name="Enter Units (1)" xfId="1307"/>
    <cellStyle name="Enter Units (2)" xfId="1308"/>
    <cellStyle name="Entered" xfId="1309"/>
    <cellStyle name="Euro" xfId="1310"/>
    <cellStyle name="Explanatory Text 2" xfId="1311"/>
    <cellStyle name="f" xfId="1312"/>
    <cellStyle name="Fixed" xfId="1313"/>
    <cellStyle name="Font Britannic16" xfId="1314"/>
    <cellStyle name="Font Britannic18" xfId="1315"/>
    <cellStyle name="Font CenturyCond 18" xfId="1316"/>
    <cellStyle name="Font Cond20" xfId="1317"/>
    <cellStyle name="Font LucidaSans16" xfId="1318"/>
    <cellStyle name="Font NewCenturyCond18" xfId="1319"/>
    <cellStyle name="Font Ottawa14" xfId="1320"/>
    <cellStyle name="Font Ottawa16" xfId="1321"/>
    <cellStyle name="Ghi chú" xfId="1322"/>
    <cellStyle name="Good 2" xfId="1323"/>
    <cellStyle name="Grey" xfId="1324"/>
    <cellStyle name="Group" xfId="1325"/>
    <cellStyle name="H" xfId="1326"/>
    <cellStyle name="ha" xfId="1327"/>
    <cellStyle name="Head 1" xfId="1328"/>
    <cellStyle name="HEADER" xfId="1329"/>
    <cellStyle name="Header1" xfId="1330"/>
    <cellStyle name="Header2" xfId="1331"/>
    <cellStyle name="Heading 1 2" xfId="1332"/>
    <cellStyle name="Heading 1 3" xfId="1333"/>
    <cellStyle name="Heading 2 2" xfId="1334"/>
    <cellStyle name="Heading 2 3" xfId="1335"/>
    <cellStyle name="Heading 3 2" xfId="1336"/>
    <cellStyle name="Heading 4 2" xfId="1337"/>
    <cellStyle name="Heading1" xfId="1338"/>
    <cellStyle name="Heading2" xfId="1339"/>
    <cellStyle name="HEADINGS" xfId="1340"/>
    <cellStyle name="HEADINGSTOP" xfId="1341"/>
    <cellStyle name="headoption" xfId="1342"/>
    <cellStyle name="Hoa-Scholl" xfId="1343"/>
    <cellStyle name="HUY" xfId="1344"/>
    <cellStyle name="i phÝ kh¸c_B¶ng 2" xfId="1345"/>
    <cellStyle name="I.3" xfId="1346"/>
    <cellStyle name="i·0" xfId="1347"/>
    <cellStyle name="_x0001_í½?" xfId="1348"/>
    <cellStyle name="ï-¾È»ê_BiÓu TB" xfId="1349"/>
    <cellStyle name="_x0001_íå_x001b_ô " xfId="1350"/>
    <cellStyle name="_x0001_íå_x001b_ô_" xfId="1351"/>
    <cellStyle name="Input [yellow]" xfId="1352"/>
    <cellStyle name="Input 2" xfId="1353"/>
    <cellStyle name="Input Cells" xfId="1354"/>
    <cellStyle name="k" xfId="1355"/>
    <cellStyle name="Kiểm tra Ô" xfId="1356"/>
    <cellStyle name="kh¸c_Bang Chi tieu" xfId="1357"/>
    <cellStyle name="khanh" xfId="1358"/>
    <cellStyle name="khung" xfId="1359"/>
    <cellStyle name="Ledger 17 x 11 in" xfId="1360"/>
    <cellStyle name="Ledger 17 x 11 in 2" xfId="1361"/>
    <cellStyle name="Ledger 17 x 11 in 2 2" xfId="1362"/>
    <cellStyle name="Ledger 17 x 11 in 3" xfId="1363"/>
    <cellStyle name="Ledger 17 x 11 in 4" xfId="1364"/>
    <cellStyle name="Ledger 17 x 11 in_Bao cao giai ngan NTM" xfId="1365"/>
    <cellStyle name="Lien hypertexte" xfId="1366"/>
    <cellStyle name="Link Currency (0)" xfId="1367"/>
    <cellStyle name="Link Currency (2)" xfId="1368"/>
    <cellStyle name="Link Units (0)" xfId="1369"/>
    <cellStyle name="Link Units (1)" xfId="1370"/>
    <cellStyle name="Link Units (2)" xfId="1371"/>
    <cellStyle name="Linked Cell 2" xfId="1372"/>
    <cellStyle name="Linked Cells" xfId="1373"/>
    <cellStyle name="luc" xfId="1374"/>
    <cellStyle name="luc2" xfId="1375"/>
    <cellStyle name="manhcuong" xfId="1376"/>
    <cellStyle name="MAU" xfId="1377"/>
    <cellStyle name="Migliaia (0)_CALPREZZ" xfId="1378"/>
    <cellStyle name="Migliaia_ PESO ELETTR." xfId="1379"/>
    <cellStyle name="Millares [0]_Well Timing" xfId="1380"/>
    <cellStyle name="Millares_Well Timing" xfId="1381"/>
    <cellStyle name="Milliers [0]_      " xfId="1382"/>
    <cellStyle name="Milliers_      " xfId="1383"/>
    <cellStyle name="Model" xfId="1384"/>
    <cellStyle name="moi" xfId="1385"/>
    <cellStyle name="moi 2" xfId="1386"/>
    <cellStyle name="moi 3" xfId="1387"/>
    <cellStyle name="moi_TH Nguon NTM 2014" xfId="1388"/>
    <cellStyle name="Mon?aire [0]_!!!GO" xfId="1389"/>
    <cellStyle name="Mon?aire_!!!GO" xfId="1390"/>
    <cellStyle name="Moneda [0]_Well Timing" xfId="1391"/>
    <cellStyle name="Moneda_Well Timing" xfId="1392"/>
    <cellStyle name="Monétaire [0]_      " xfId="1393"/>
    <cellStyle name="Monétaire_      " xfId="1394"/>
    <cellStyle name="Môc" xfId="1395"/>
    <cellStyle name="n" xfId="1396"/>
    <cellStyle name="n1" xfId="1397"/>
    <cellStyle name="Neutral 2" xfId="1398"/>
    <cellStyle name="New" xfId="1399"/>
    <cellStyle name="New Times Roman" xfId="1400"/>
    <cellStyle name="New_Phụ luc goi 5" xfId="1401"/>
    <cellStyle name="no dec" xfId="1402"/>
    <cellStyle name="ÑONVÒ" xfId="1403"/>
    <cellStyle name="Normal" xfId="0" builtinId="0"/>
    <cellStyle name="Normal - Style1" xfId="1404"/>
    <cellStyle name="Normal - Style1 2" xfId="1405"/>
    <cellStyle name="Normal - Style1 3" xfId="1406"/>
    <cellStyle name="Normal - Style1_TH Nguon NTM 2014" xfId="1407"/>
    <cellStyle name="Normal - 유형1" xfId="1408"/>
    <cellStyle name="Normal 10" xfId="1409"/>
    <cellStyle name="Normal 10 2" xfId="1410"/>
    <cellStyle name="Normal 11" xfId="1411"/>
    <cellStyle name="Normal 12" xfId="1412"/>
    <cellStyle name="Normal 13" xfId="1413"/>
    <cellStyle name="Normal 14" xfId="1414"/>
    <cellStyle name="Normal 15" xfId="1415"/>
    <cellStyle name="Normal 16" xfId="1416"/>
    <cellStyle name="Normal 17" xfId="1417"/>
    <cellStyle name="Normal 18" xfId="1418"/>
    <cellStyle name="Normal 18 2" xfId="1419"/>
    <cellStyle name="Normal 18 2 2" xfId="1420"/>
    <cellStyle name="Normal 19" xfId="1421"/>
    <cellStyle name="Normal 19 2" xfId="1422"/>
    <cellStyle name="Normal 19_TIEU CHI 20.5" xfId="1423"/>
    <cellStyle name="Normal 2" xfId="1424"/>
    <cellStyle name="Normal 2 10" xfId="1425"/>
    <cellStyle name="Normal 2 11" xfId="1426"/>
    <cellStyle name="Normal 2 12" xfId="1427"/>
    <cellStyle name="Normal 2 13" xfId="1428"/>
    <cellStyle name="Normal 2 14" xfId="1429"/>
    <cellStyle name="Normal 2 15" xfId="1430"/>
    <cellStyle name="Normal 2 16" xfId="1431"/>
    <cellStyle name="Normal 2 17" xfId="1432"/>
    <cellStyle name="Normal 2 18" xfId="1433"/>
    <cellStyle name="Normal 2 19" xfId="1434"/>
    <cellStyle name="Normal 2 2" xfId="1435"/>
    <cellStyle name="Normal 2 2 2" xfId="1436"/>
    <cellStyle name="Normal 2 2 2 2" xfId="1437"/>
    <cellStyle name="Normal 2 2 3" xfId="1438"/>
    <cellStyle name="Normal 2 20" xfId="1439"/>
    <cellStyle name="Normal 2 21" xfId="1440"/>
    <cellStyle name="Normal 2 22" xfId="1441"/>
    <cellStyle name="Normal 2 23" xfId="1442"/>
    <cellStyle name="Normal 2 24" xfId="1443"/>
    <cellStyle name="Normal 2 25" xfId="1444"/>
    <cellStyle name="Normal 2 26" xfId="1445"/>
    <cellStyle name="Normal 2 27" xfId="1446"/>
    <cellStyle name="Normal 2 28" xfId="1447"/>
    <cellStyle name="Normal 2 29" xfId="1448"/>
    <cellStyle name="Normal 2 3" xfId="1449"/>
    <cellStyle name="Normal 2 3 2" xfId="1450"/>
    <cellStyle name="Normal 2 3_Bieu tong hop" xfId="1451"/>
    <cellStyle name="Normal 2 30" xfId="1452"/>
    <cellStyle name="Normal 2 31" xfId="1453"/>
    <cellStyle name="Normal 2 32" xfId="1454"/>
    <cellStyle name="Normal 2 33" xfId="1455"/>
    <cellStyle name="Normal 2 34" xfId="1456"/>
    <cellStyle name="Normal 2 35" xfId="1457"/>
    <cellStyle name="Normal 2 4" xfId="1458"/>
    <cellStyle name="Normal 2 4 2" xfId="1459"/>
    <cellStyle name="Normal 2 5" xfId="1460"/>
    <cellStyle name="Normal 2 5 2" xfId="1461"/>
    <cellStyle name="Normal 2 6" xfId="1462"/>
    <cellStyle name="Normal 2 7" xfId="1463"/>
    <cellStyle name="Normal 2 8" xfId="1464"/>
    <cellStyle name="Normal 2 9" xfId="1465"/>
    <cellStyle name="Normal 2_B 11" xfId="1466"/>
    <cellStyle name="Normal 2_So lieu mo hinh" xfId="1467"/>
    <cellStyle name="Normal 20" xfId="1468"/>
    <cellStyle name="Normal 20 2" xfId="1469"/>
    <cellStyle name="Normal 20 3" xfId="1470"/>
    <cellStyle name="Normal 21" xfId="1471"/>
    <cellStyle name="Normal 21 2" xfId="1472"/>
    <cellStyle name="Normal 22" xfId="1473"/>
    <cellStyle name="Normal 23" xfId="1474"/>
    <cellStyle name="Normal 24" xfId="1475"/>
    <cellStyle name="Normal 25" xfId="1476"/>
    <cellStyle name="Normal 26" xfId="1477"/>
    <cellStyle name="Normal 27" xfId="1478"/>
    <cellStyle name="Normal 28" xfId="1479"/>
    <cellStyle name="Normal 29" xfId="1480"/>
    <cellStyle name="Normal 29 2" xfId="1481"/>
    <cellStyle name="Normal 3" xfId="1482"/>
    <cellStyle name="Normal 3 10" xfId="1483"/>
    <cellStyle name="Normal 3 11" xfId="1484"/>
    <cellStyle name="Normal 3 12" xfId="1485"/>
    <cellStyle name="Normal 3 13" xfId="1486"/>
    <cellStyle name="Normal 3 14" xfId="1487"/>
    <cellStyle name="Normal 3 15" xfId="1488"/>
    <cellStyle name="Normal 3 16" xfId="1489"/>
    <cellStyle name="Normal 3 17" xfId="1490"/>
    <cellStyle name="Normal 3 18" xfId="1491"/>
    <cellStyle name="Normal 3 19" xfId="1492"/>
    <cellStyle name="Normal 3 2" xfId="1493"/>
    <cellStyle name="Normal 3 2 2" xfId="1494"/>
    <cellStyle name="Normal 3 2 2 2" xfId="1495"/>
    <cellStyle name="Normal 3 2_Bieu tong hop" xfId="1496"/>
    <cellStyle name="Normal 3 20" xfId="1497"/>
    <cellStyle name="Normal 3 21" xfId="1498"/>
    <cellStyle name="Normal 3 22" xfId="1499"/>
    <cellStyle name="Normal 3 23" xfId="1500"/>
    <cellStyle name="Normal 3 24" xfId="1501"/>
    <cellStyle name="Normal 3 25" xfId="1502"/>
    <cellStyle name="Normal 3 26" xfId="1503"/>
    <cellStyle name="Normal 3 27" xfId="1504"/>
    <cellStyle name="Normal 3 28" xfId="1505"/>
    <cellStyle name="Normal 3 29" xfId="1506"/>
    <cellStyle name="Normal 3 3" xfId="1507"/>
    <cellStyle name="Normal 3 30" xfId="1508"/>
    <cellStyle name="Normal 3 4" xfId="1509"/>
    <cellStyle name="Normal 3 4 2" xfId="1510"/>
    <cellStyle name="Normal 3 5" xfId="1511"/>
    <cellStyle name="Normal 3 6" xfId="1512"/>
    <cellStyle name="Normal 3 7" xfId="1513"/>
    <cellStyle name="Normal 3 8" xfId="1514"/>
    <cellStyle name="Normal 3 9" xfId="1515"/>
    <cellStyle name="Normal 3_Bieu HN truc tuyen ngay 11.2" xfId="1516"/>
    <cellStyle name="Normal 3_Đường BTXM 17-4" xfId="1517"/>
    <cellStyle name="Normal 30" xfId="1518"/>
    <cellStyle name="Normal 31" xfId="1519"/>
    <cellStyle name="Normal 32" xfId="1520"/>
    <cellStyle name="Normal 33" xfId="1521"/>
    <cellStyle name="Normal 34" xfId="1522"/>
    <cellStyle name="Normal 35" xfId="1523"/>
    <cellStyle name="Normal 4" xfId="1524"/>
    <cellStyle name="Normal 4 2" xfId="1525"/>
    <cellStyle name="Normal 4 3" xfId="1526"/>
    <cellStyle name="Normal 4 4" xfId="1527"/>
    <cellStyle name="Normal 4 4 2" xfId="1528"/>
    <cellStyle name="Normal 4 5" xfId="1529"/>
    <cellStyle name="Normal 4_Bao cao giai ngan NTM" xfId="1530"/>
    <cellStyle name="Normal 5" xfId="1531"/>
    <cellStyle name="Normal 5 2" xfId="1532"/>
    <cellStyle name="Normal 5_Bao cao giai ngan NTM" xfId="1533"/>
    <cellStyle name="Normal 59" xfId="1534"/>
    <cellStyle name="Normal 6" xfId="1535"/>
    <cellStyle name="Normal 6 2" xfId="1536"/>
    <cellStyle name="Normal 6_Bieu tong hop" xfId="1537"/>
    <cellStyle name="Normal 7" xfId="1538"/>
    <cellStyle name="Normal 8" xfId="1539"/>
    <cellStyle name="Normal 9" xfId="1540"/>
    <cellStyle name="Normal 9 2" xfId="1541"/>
    <cellStyle name="Normal 9 2 2" xfId="1542"/>
    <cellStyle name="Normal 9 3" xfId="1543"/>
    <cellStyle name="Normal 9_B 11" xfId="1544"/>
    <cellStyle name="Normal_KSTK Nha Trang goi1" xfId="1545"/>
    <cellStyle name="Normal_Ky Anh" xfId="1546"/>
    <cellStyle name="Normal_Phu Luc 2; BAo Cao THop" xfId="1547"/>
    <cellStyle name="Normal_Sheet1 2" xfId="1548"/>
    <cellStyle name="Normal_Sheet1 2 2" xfId="1549"/>
    <cellStyle name="Normal_Sheet1 3" xfId="1550"/>
    <cellStyle name="Normal_Sheet1_1" xfId="1551"/>
    <cellStyle name="Normal_tiêu chi NĂM 2013 (sữa) 2" xfId="1552"/>
    <cellStyle name="Normal1" xfId="1553"/>
    <cellStyle name="Normale_ PESO ELETTR." xfId="1554"/>
    <cellStyle name="Normalny_Cennik obowiazuje od 06-08-2001 r (1)" xfId="1555"/>
    <cellStyle name="Note 2" xfId="1556"/>
    <cellStyle name="NWM" xfId="1557"/>
    <cellStyle name="Nhấn1" xfId="1558"/>
    <cellStyle name="Nhấn2" xfId="1559"/>
    <cellStyle name="Nhấn3" xfId="1560"/>
    <cellStyle name="Nhấn4" xfId="1561"/>
    <cellStyle name="Nhấn5" xfId="1562"/>
    <cellStyle name="Nhấn6" xfId="1563"/>
    <cellStyle name="Œ…‹æØ‚è [0.00]_laroux" xfId="1564"/>
    <cellStyle name="Œ…‹æØ‚è_laroux" xfId="1565"/>
    <cellStyle name="oft Excel]_x000d__x000a_Comment=open=/f ‚ðw’è‚·‚é‚ÆAƒ†[ƒU[’è‹`ŠÖ”‚ðŠÖ”“\‚è•t‚¯‚Ìˆê——‚É“o˜^‚·‚é‚±‚Æ‚ª‚Å‚«‚Ü‚·B_x000d__x000a_Maximized" xfId="1566"/>
    <cellStyle name="oft Excel]_x000d__x000a_Comment=open=/f ‚ðŽw’è‚·‚é‚ÆAƒ†[ƒU[’è‹`ŠÖ”‚ðŠÖ”“\‚è•t‚¯‚Ìˆê——‚É“o˜^‚·‚é‚±‚Æ‚ª‚Å‚«‚Ü‚·B_x000d__x000a_Maximized" xfId="1567"/>
    <cellStyle name="oft Excel]_x000d__x000a_Comment=The open=/f lines load custom functions into the Paste Function list._x000d__x000a_Maximized=2_x000d__x000a_Basics=1_x000d__x000a_A" xfId="1568"/>
    <cellStyle name="oft Excel]_x000d__x000a_Comment=The open=/f lines load custom functions into the Paste Function list._x000d__x000a_Maximized=3_x000d__x000a_Basics=1_x000d__x000a_A" xfId="1569"/>
    <cellStyle name="omma [0]_Mktg Prog" xfId="1570"/>
    <cellStyle name="ormal_Sheet1_1" xfId="1571"/>
    <cellStyle name="Output 2" xfId="1572"/>
    <cellStyle name="Ô Được nối kết" xfId="1573"/>
    <cellStyle name="Pattern" xfId="1574"/>
    <cellStyle name="per.style" xfId="1575"/>
    <cellStyle name="Percent [0]" xfId="1576"/>
    <cellStyle name="Percent [00]" xfId="1577"/>
    <cellStyle name="Percent [2]" xfId="1578"/>
    <cellStyle name="Percent [2] 2" xfId="1579"/>
    <cellStyle name="Percent [2] 3" xfId="1580"/>
    <cellStyle name="Percent 10" xfId="1581"/>
    <cellStyle name="Percent 11" xfId="1582"/>
    <cellStyle name="Percent 2" xfId="1583"/>
    <cellStyle name="Percent 2 2" xfId="1584"/>
    <cellStyle name="Percent 3" xfId="1585"/>
    <cellStyle name="Percent 3 2" xfId="1586"/>
    <cellStyle name="Percent 4" xfId="1587"/>
    <cellStyle name="Percent 4 2" xfId="1588"/>
    <cellStyle name="Percent 4 2 2" xfId="1589"/>
    <cellStyle name="Percent 4 3" xfId="1590"/>
    <cellStyle name="Percent 5" xfId="1591"/>
    <cellStyle name="Percent 6" xfId="1592"/>
    <cellStyle name="Percent 7" xfId="1593"/>
    <cellStyle name="Percent 8" xfId="1594"/>
    <cellStyle name="Percent 9" xfId="1595"/>
    <cellStyle name="PERCENTAGE" xfId="1596"/>
    <cellStyle name="PrePop Currency (0)" xfId="1597"/>
    <cellStyle name="PrePop Currency (2)" xfId="1598"/>
    <cellStyle name="PrePop Units (0)" xfId="1599"/>
    <cellStyle name="PrePop Units (1)" xfId="1600"/>
    <cellStyle name="PrePop Units (2)" xfId="1601"/>
    <cellStyle name="pricing" xfId="1602"/>
    <cellStyle name="PSChar" xfId="1603"/>
    <cellStyle name="PSHeading" xfId="1604"/>
    <cellStyle name="Phong" xfId="1605"/>
    <cellStyle name="Quantity" xfId="1606"/>
    <cellStyle name="regstoresfromspecstores" xfId="1607"/>
    <cellStyle name="RevList" xfId="1608"/>
    <cellStyle name="s" xfId="1609"/>
    <cellStyle name="S—_x0008_" xfId="1610"/>
    <cellStyle name="s]_x000d__x000a_spooler=yes_x000d__x000a_load=_x000d__x000a_Beep=yes_x000d__x000a_NullPort=None_x000d__x000a_BorderWidth=3_x000d__x000a_CursorBlinkRate=1200_x000d__x000a_DoubleClickSpeed=452_x000d__x000a_Programs=co" xfId="1611"/>
    <cellStyle name="S—_x0008__Phụ luc goi 5" xfId="1612"/>
    <cellStyle name="s1" xfId="1613"/>
    <cellStyle name="SAPBEXaggData" xfId="1614"/>
    <cellStyle name="SAPBEXaggDataEmph" xfId="1615"/>
    <cellStyle name="SAPBEXaggItem" xfId="1616"/>
    <cellStyle name="SAPBEXchaText" xfId="1617"/>
    <cellStyle name="SAPBEXexcBad7" xfId="1618"/>
    <cellStyle name="SAPBEXexcBad8" xfId="1619"/>
    <cellStyle name="SAPBEXexcBad9" xfId="1620"/>
    <cellStyle name="SAPBEXexcCritical4" xfId="1621"/>
    <cellStyle name="SAPBEXexcCritical5" xfId="1622"/>
    <cellStyle name="SAPBEXexcCritical6" xfId="1623"/>
    <cellStyle name="SAPBEXexcGood1" xfId="1624"/>
    <cellStyle name="SAPBEXexcGood2" xfId="1625"/>
    <cellStyle name="SAPBEXexcGood3" xfId="1626"/>
    <cellStyle name="SAPBEXfilterDrill" xfId="1627"/>
    <cellStyle name="SAPBEXfilterItem" xfId="1628"/>
    <cellStyle name="SAPBEXfilterText" xfId="1629"/>
    <cellStyle name="SAPBEXformats" xfId="1630"/>
    <cellStyle name="SAPBEXheaderItem" xfId="1631"/>
    <cellStyle name="SAPBEXheaderText" xfId="1632"/>
    <cellStyle name="SAPBEXresData" xfId="1633"/>
    <cellStyle name="SAPBEXresDataEmph" xfId="1634"/>
    <cellStyle name="SAPBEXresItem" xfId="1635"/>
    <cellStyle name="SAPBEXstdData" xfId="1636"/>
    <cellStyle name="SAPBEXstdDataEmph" xfId="1637"/>
    <cellStyle name="SAPBEXstdItem" xfId="1638"/>
    <cellStyle name="SAPBEXtitle" xfId="1639"/>
    <cellStyle name="SAPBEXundefined" xfId="1640"/>
    <cellStyle name="_x0001_sç?" xfId="1641"/>
    <cellStyle name="serJet 1200 Series PCL 6" xfId="1642"/>
    <cellStyle name="SHADEDSTORES" xfId="1643"/>
    <cellStyle name="Siêu nối kết_BANG SO LIEU TONG HOP CAC HO DAN" xfId="1644"/>
    <cellStyle name="songuyen" xfId="1645"/>
    <cellStyle name="specstores" xfId="1646"/>
    <cellStyle name="Standard_AAbgleich" xfId="1647"/>
    <cellStyle name="STTDG" xfId="1648"/>
    <cellStyle name="style" xfId="1649"/>
    <cellStyle name="Style 1" xfId="1650"/>
    <cellStyle name="Style 10" xfId="1651"/>
    <cellStyle name="Style 11" xfId="1652"/>
    <cellStyle name="Style 12" xfId="1653"/>
    <cellStyle name="Style 13" xfId="1654"/>
    <cellStyle name="Style 14" xfId="1655"/>
    <cellStyle name="Style 15" xfId="1656"/>
    <cellStyle name="Style 16" xfId="1657"/>
    <cellStyle name="Style 17" xfId="1658"/>
    <cellStyle name="Style 18" xfId="1659"/>
    <cellStyle name="Style 19" xfId="1660"/>
    <cellStyle name="Style 2" xfId="1661"/>
    <cellStyle name="Style 20" xfId="1662"/>
    <cellStyle name="Style 21" xfId="1663"/>
    <cellStyle name="Style 22" xfId="1664"/>
    <cellStyle name="Style 23" xfId="1665"/>
    <cellStyle name="Style 24" xfId="1666"/>
    <cellStyle name="Style 25" xfId="1667"/>
    <cellStyle name="Style 26" xfId="1668"/>
    <cellStyle name="Style 27" xfId="1669"/>
    <cellStyle name="Style 28" xfId="1670"/>
    <cellStyle name="Style 29" xfId="1671"/>
    <cellStyle name="Style 3" xfId="1672"/>
    <cellStyle name="Style 30" xfId="1673"/>
    <cellStyle name="Style 31" xfId="1674"/>
    <cellStyle name="Style 32" xfId="1675"/>
    <cellStyle name="Style 33" xfId="1676"/>
    <cellStyle name="Style 34" xfId="1677"/>
    <cellStyle name="Style 35" xfId="1678"/>
    <cellStyle name="Style 4" xfId="1679"/>
    <cellStyle name="Style 5" xfId="1680"/>
    <cellStyle name="Style 6" xfId="1681"/>
    <cellStyle name="Style 7" xfId="1682"/>
    <cellStyle name="Style 8" xfId="1683"/>
    <cellStyle name="Style 9" xfId="1684"/>
    <cellStyle name="Style Date" xfId="1685"/>
    <cellStyle name="style_1" xfId="1686"/>
    <cellStyle name="subhead" xfId="1687"/>
    <cellStyle name="Subtotal" xfId="1688"/>
    <cellStyle name="symbol" xfId="1689"/>
    <cellStyle name="T" xfId="1690"/>
    <cellStyle name="T_0D5B6000" xfId="1691"/>
    <cellStyle name="T_AP GIA XA BAO NHAI" xfId="1692"/>
    <cellStyle name="T_Bang ke tra tien Tieu DA GPMB QL70" xfId="1693"/>
    <cellStyle name="T_Bao cao thang G1" xfId="1694"/>
    <cellStyle name="T_Bo sung TT 09 Duong Bac Ngam - Bac Ha sua" xfId="1695"/>
    <cellStyle name="T_Book1" xfId="1696"/>
    <cellStyle name="T_Book1 (version 1)" xfId="1697"/>
    <cellStyle name="T_Book1_1" xfId="1698"/>
    <cellStyle name="T_Book1_1_Book1" xfId="1699"/>
    <cellStyle name="T_Book1_1_Book1_Phụ luc goi 5" xfId="1700"/>
    <cellStyle name="T_Book1_1_Duong Xuan Quang - Thai Nien(408)" xfId="1701"/>
    <cellStyle name="T_Book1_1_Khoi luong" xfId="1702"/>
    <cellStyle name="T_Book1_1_Khoi luong QL8B" xfId="1703"/>
    <cellStyle name="T_Book1_1_Phụ luc goi 5" xfId="1704"/>
    <cellStyle name="T_Book1_1_QL70 lan 3.da t dinh" xfId="1705"/>
    <cellStyle name="T_Book1_1_TDT dieu chinh4.08 (GP-ST)" xfId="1706"/>
    <cellStyle name="T_Book1_1_TDT dieu chinh4.08Xq-Tn" xfId="1707"/>
    <cellStyle name="T_Book1_1_Tong hop" xfId="1708"/>
    <cellStyle name="T_Book1_1_Tuyen (20-6-11 PA 2)" xfId="1709"/>
    <cellStyle name="T_Book1_1_Tuyen (21-7-11)-doan 1" xfId="1710"/>
    <cellStyle name="T_Book1_2" xfId="1711"/>
    <cellStyle name="T_Book1_2_Duong Xuan Quang - Thai Nien(408)" xfId="1712"/>
    <cellStyle name="T_Book1_2_Khoi luong" xfId="1713"/>
    <cellStyle name="T_Book1_2_Phụ luc goi 5" xfId="1714"/>
    <cellStyle name="T_Book1_2_TDT dieu chinh4.08 (GP-ST)" xfId="1715"/>
    <cellStyle name="T_Book1_2_TDT dieu chinh4.08Xq-Tn" xfId="1716"/>
    <cellStyle name="T_Book1_2_Tong hop" xfId="1717"/>
    <cellStyle name="T_Book1_3" xfId="1718"/>
    <cellStyle name="T_Book1_3_Phụ luc goi 5" xfId="1719"/>
    <cellStyle name="T_Book1_Bao cao sơ TC" xfId="1720"/>
    <cellStyle name="T_Book1_Bo sung TT 09 Duong Bac Ngam - Bac Ha sua" xfId="1721"/>
    <cellStyle name="T_Book1_Book1" xfId="1722"/>
    <cellStyle name="T_Book1_Book1_1" xfId="1723"/>
    <cellStyle name="T_Book1_Book1_1_Phụ luc goi 5" xfId="1724"/>
    <cellStyle name="T_Book1_Book1_Book1" xfId="1725"/>
    <cellStyle name="T_Book1_Book1_DCG TT09 G2 3.12.2007" xfId="1726"/>
    <cellStyle name="T_Book1_Book1_Goi 2 in20.4" xfId="1727"/>
    <cellStyle name="T_Book1_Book1_Khoi luong" xfId="1728"/>
    <cellStyle name="T_Book1_Book1_Phụ luc goi 5" xfId="1729"/>
    <cellStyle name="T_Book1_Book1_Sheet1" xfId="1730"/>
    <cellStyle name="T_Book1_Book1_Tong hop" xfId="1731"/>
    <cellStyle name="T_Book1_Book1_Tuyen (20-6-11 PA 2)" xfId="1732"/>
    <cellStyle name="T_Book1_Book1_Tuyen (21-7-11)-doan 1" xfId="1733"/>
    <cellStyle name="T_Book1_Book2" xfId="1734"/>
    <cellStyle name="T_Book1_Cau ha loi HD Truongthinh" xfId="1735"/>
    <cellStyle name="T_Book1_DCG TT09 G2 3.12.2007" xfId="1736"/>
    <cellStyle name="T_Book1_DTduong-goi1" xfId="1737"/>
    <cellStyle name="T_Book1_DTGiangChaChai22.7sua" xfId="1738"/>
    <cellStyle name="T_Book1_Duong Po Ngang - Coc LaySua1.07" xfId="1739"/>
    <cellStyle name="T_Book1_Duong Xuan Quang - Thai Nien(408)" xfId="1740"/>
    <cellStyle name="T_Book1_dutoanLCSP04-km0-5-goi1 (Ban 5 sua 24-8)" xfId="1741"/>
    <cellStyle name="T_Book1_Goi 2 in20.4" xfId="1742"/>
    <cellStyle name="T_Book1_Gia goi 1" xfId="1743"/>
    <cellStyle name="T_Book1_Khoi luong" xfId="1744"/>
    <cellStyle name="T_Book1_Khoi luong QL8B" xfId="1745"/>
    <cellStyle name="T_Book1_Phụ luc goi 5" xfId="1746"/>
    <cellStyle name="T_Book1_QL4 (211-217) TB gia 31-8-2006 sua NC-coma" xfId="1747"/>
    <cellStyle name="T_Book1_QL70_TC_Km188-197-in" xfId="1748"/>
    <cellStyle name="T_Book1_Sheet1" xfId="1749"/>
    <cellStyle name="T_Book1_Sua chua cum tuyen" xfId="1750"/>
    <cellStyle name="T_Book1_TD Khoi luong (TT05)G4" xfId="1751"/>
    <cellStyle name="T_Book1_TDT dieu chinh4.08 (GP-ST)" xfId="1752"/>
    <cellStyle name="T_Book1_TDT dieu chinh4.08Xq-Tn" xfId="1753"/>
    <cellStyle name="T_Book1_Tong hop" xfId="1754"/>
    <cellStyle name="T_Book2" xfId="1755"/>
    <cellStyle name="T_Cao do mong cong, phai tuyen" xfId="1756"/>
    <cellStyle name="T_Cau ha loi HD Truongthinh" xfId="1757"/>
    <cellStyle name="T_Cau Phu Phuong" xfId="1758"/>
    <cellStyle name="T_CDKT" xfId="1759"/>
    <cellStyle name="T_CDKT_Phụ luc goi 5" xfId="1760"/>
    <cellStyle name="T_cuong sua 9.10" xfId="1761"/>
    <cellStyle name="T_CHU THANH" xfId="1762"/>
    <cellStyle name="T_DCG TT09 G2 3.12.2007" xfId="1763"/>
    <cellStyle name="T_DCKS-Tram Ha Tay-trinh" xfId="1764"/>
    <cellStyle name="T_denbu" xfId="1765"/>
    <cellStyle name="T_Don gia Goi thau so 1 (872)" xfId="1766"/>
    <cellStyle name="T_dt1" xfId="1767"/>
    <cellStyle name="T_DTduong-goi1" xfId="1768"/>
    <cellStyle name="T_DTGiangChaChai22.7sua" xfId="1769"/>
    <cellStyle name="T_dtoanSPthemKLcong" xfId="1770"/>
    <cellStyle name="T_dtoangiaBXsuaCPK-pai" xfId="1771"/>
    <cellStyle name="T_dtTL598G1." xfId="1772"/>
    <cellStyle name="T_dtTL598G1._Phụ luc goi 5" xfId="1773"/>
    <cellStyle name="T_DTWB31" xfId="1774"/>
    <cellStyle name="T_DTWB3Sua12.6" xfId="1775"/>
    <cellStyle name="T_Du toan du thau Cautreo" xfId="1776"/>
    <cellStyle name="T_Duong Po Ngang - Coc LaySua1.07" xfId="1777"/>
    <cellStyle name="T_Duong TT xa Nam Khanh" xfId="1778"/>
    <cellStyle name="T_Duong Xuan Quang - Thai Nien(408)" xfId="1779"/>
    <cellStyle name="T_dutoanLCSP04-km0-5-goi1 (Ban 5 sua 24-8)" xfId="1780"/>
    <cellStyle name="T_G_I TCDBVN. BCQTC_U QUANG DAI.QL62.(11)" xfId="1781"/>
    <cellStyle name="T_Goi 2 in20.4" xfId="1782"/>
    <cellStyle name="T_Goi 5" xfId="1783"/>
    <cellStyle name="T_GoiXL1hem" xfId="1784"/>
    <cellStyle name="T_Gia thanh-chuan" xfId="1785"/>
    <cellStyle name="T_Gia thau Hoang Xuan" xfId="1786"/>
    <cellStyle name="T_KL san nen Phieng Ot" xfId="1787"/>
    <cellStyle name="T_klcongk0_28" xfId="1788"/>
    <cellStyle name="T_Km329-Km350 (7-6)" xfId="1789"/>
    <cellStyle name="T_Khao satD1" xfId="1790"/>
    <cellStyle name="T_Khao satD1_Phụ luc goi 5" xfId="1791"/>
    <cellStyle name="T_Khoi Bung" xfId="1792"/>
    <cellStyle name="T_Khoi luong" xfId="1793"/>
    <cellStyle name="T_Khoi luong QL8B" xfId="1794"/>
    <cellStyle name="T_Khoi Xa Ngoai-con 1 ho" xfId="1795"/>
    <cellStyle name="T_Khoiluongduonggiao" xfId="1796"/>
    <cellStyle name="T_KHỐI LƯỢNG QUYẾT TOÁN GÓI 5 (TVGS CHẤP THUẬN) TVS" xfId="1797"/>
    <cellStyle name="T_Phụ luc goi 5" xfId="1798"/>
    <cellStyle name="T_QL70 lan 3.da t dinh" xfId="1799"/>
    <cellStyle name="T_QL70_TC_Km188-197-in" xfId="1800"/>
    <cellStyle name="T_QT di chuyen ca phe" xfId="1801"/>
    <cellStyle name="T_San Nen TDC P.Ot.suaxls" xfId="1802"/>
    <cellStyle name="T_Sheet1" xfId="1803"/>
    <cellStyle name="T_TDT 3 xa VA chinh thuc" xfId="1804"/>
    <cellStyle name="T_TDT dieu chinh4.08 (GP-ST)" xfId="1805"/>
    <cellStyle name="T_tien2004" xfId="1806"/>
    <cellStyle name="T_tien2004_Phụ luc goi 5" xfId="1807"/>
    <cellStyle name="T_Tinh KLHC goi 1" xfId="1808"/>
    <cellStyle name="T_TKE-ChoDon-sua" xfId="1809"/>
    <cellStyle name="T_Tong hop" xfId="1810"/>
    <cellStyle name="T_Tuyen (20-6-11 PA 2)" xfId="1811"/>
    <cellStyle name="T_Tuyen (21-7-11)-doan 1" xfId="1812"/>
    <cellStyle name="T_Theo doi NT" xfId="1813"/>
    <cellStyle name="T_Thong ke TDTKKT - Nam 2005" xfId="1814"/>
    <cellStyle name="T_ÿÿÿÿÿ" xfId="1815"/>
    <cellStyle name="tde" xfId="1816"/>
    <cellStyle name="Text Indent A" xfId="1817"/>
    <cellStyle name="Text Indent B" xfId="1818"/>
    <cellStyle name="Text Indent C" xfId="1819"/>
    <cellStyle name="Tiªu ®Ì" xfId="1820"/>
    <cellStyle name="Tien VN" xfId="1821"/>
    <cellStyle name="Tien1" xfId="1822"/>
    <cellStyle name="Tieu_de_2" xfId="1823"/>
    <cellStyle name="Tiêu đề" xfId="1824"/>
    <cellStyle name="Times New Roman" xfId="1825"/>
    <cellStyle name="Tính toán" xfId="1826"/>
    <cellStyle name="TiÓu môc" xfId="1827"/>
    <cellStyle name="tit1" xfId="1828"/>
    <cellStyle name="tit2" xfId="1829"/>
    <cellStyle name="tit3" xfId="1830"/>
    <cellStyle name="tit4" xfId="1831"/>
    <cellStyle name="Title 2" xfId="1832"/>
    <cellStyle name="Tongcong" xfId="1833"/>
    <cellStyle name="Total 2" xfId="1834"/>
    <cellStyle name="Total 3" xfId="1835"/>
    <cellStyle name="Tổng" xfId="1836"/>
    <cellStyle name="Tốt" xfId="1837"/>
    <cellStyle name="Tusental (0)_pldt" xfId="1838"/>
    <cellStyle name="Tusental_pldt" xfId="1839"/>
    <cellStyle name="th" xfId="1840"/>
    <cellStyle name="than" xfId="1841"/>
    <cellStyle name="Thanh" xfId="1842"/>
    <cellStyle name="þ_x001d_ð" xfId="1843"/>
    <cellStyle name="þ_x001d_ð¤_x000c_¯þ_x0014__x000d_¨þU_x0001_À_x0004_ _x0015__x000f__x0001__x0001_" xfId="1844"/>
    <cellStyle name="þ_x001d_ð·" xfId="1845"/>
    <cellStyle name="þ_x001d_ð·_x000c_" xfId="1846"/>
    <cellStyle name="þ_x001d_ð·_x000c_æ" xfId="1847"/>
    <cellStyle name="þ_x001d_ð·_x000c_æþ'_x000d_ßþU" xfId="1848"/>
    <cellStyle name="þ_x001d_ð·_x000c_æþ'_x000d_ßþU_x0001_" xfId="1849"/>
    <cellStyle name="þ_x001d_ð·_x000c_æþ'_x000d_ßþU_x0001_Ø" xfId="1850"/>
    <cellStyle name="þ_x001d_ð·_x000c_æþ'_x000d_ßþU_x0001_Ø_x0005_" xfId="1851"/>
    <cellStyle name="þ_x001d_ð·_x000c_æþ'_x000d_ßþU_x0001_Ø_x0005_ü_x0014__x0007__x0001__x0001_" xfId="1852"/>
    <cellStyle name="þ_x001d_ðÇ%Uý—&amp;Hý9_x0008_Ÿ s_x000a__x0007__x0001__x0001_" xfId="1853"/>
    <cellStyle name="þ_x001d_ðÇ%Uý—&amp;Hý9_x0008_Ÿ_x0009_s_x000a__x0007__x0001__x0001_" xfId="1854"/>
    <cellStyle name="þ_x001d_ðK_x000c_Fý" xfId="1855"/>
    <cellStyle name="þ_x001d_ðK_x000c_Fý_x001b__x000d_9ýU_x0001_Ð_x0008_¦)_x0007__x0001__x0001_" xfId="1856"/>
    <cellStyle name="thuong-10" xfId="1857"/>
    <cellStyle name="thuong-11" xfId="1858"/>
    <cellStyle name="Thuyet minh" xfId="1859"/>
    <cellStyle name="Trung tính" xfId="1860"/>
    <cellStyle name="ux_3_¼­¿ï-¾È»ê" xfId="1861"/>
    <cellStyle name="Valuta (0)_CALPREZZ" xfId="1862"/>
    <cellStyle name="Valuta_ PESO ELETTR." xfId="1863"/>
    <cellStyle name="VANG1" xfId="1864"/>
    <cellStyle name="Văn bản Cảnh báo" xfId="1865"/>
    <cellStyle name="Văn bản Giải thích" xfId="1866"/>
    <cellStyle name="viet" xfId="1867"/>
    <cellStyle name="viet2" xfId="1868"/>
    <cellStyle name="Vietnam 1" xfId="1869"/>
    <cellStyle name="VN new romanNormal" xfId="1870"/>
    <cellStyle name="Vn Time 13" xfId="1871"/>
    <cellStyle name="Vn Time 14" xfId="1872"/>
    <cellStyle name="VN time new roman" xfId="1873"/>
    <cellStyle name="vn_time" xfId="1874"/>
    <cellStyle name="vnbo" xfId="1875"/>
    <cellStyle name="vntxt1" xfId="1876"/>
    <cellStyle name="vntxt2" xfId="1877"/>
    <cellStyle name="vnhead1" xfId="1878"/>
    <cellStyle name="vnhead2" xfId="1879"/>
    <cellStyle name="vnhead3" xfId="1880"/>
    <cellStyle name="vnhead4" xfId="1881"/>
    <cellStyle name="Währung [0]_ALLE_ITEMS_280800_EV_NL" xfId="1882"/>
    <cellStyle name="Währung_AKE_100N" xfId="1883"/>
    <cellStyle name="Walutowy [0]_Invoices2001Slovakia" xfId="1884"/>
    <cellStyle name="Walutowy_Invoices2001Slovakia" xfId="1885"/>
    <cellStyle name="Warning Text 2" xfId="1886"/>
    <cellStyle name="Worksheet" xfId="1887"/>
    <cellStyle name="xã Hộ Độ" xfId="1888"/>
    <cellStyle name="xan1" xfId="1889"/>
    <cellStyle name="Xấu" xfId="1890"/>
    <cellStyle name="xuan" xfId="1891"/>
    <cellStyle name="Ý kh¸c_B¶ng 1 (2)" xfId="1892"/>
    <cellStyle name=" [0.00]_ Att. 1- Cover" xfId="1893"/>
    <cellStyle name="_ Att. 1- Cover" xfId="1894"/>
    <cellStyle name="?_ Att. 1- Cover" xfId="1895"/>
    <cellStyle name="똿뗦먛귟 [0.00]_PRODUCT DETAIL Q1" xfId="1896"/>
    <cellStyle name="똿뗦먛귟_PRODUCT DETAIL Q1" xfId="1897"/>
    <cellStyle name="믅됞 [0.00]_PRODUCT DETAIL Q1" xfId="1898"/>
    <cellStyle name="믅됞_PRODUCT DETAIL Q1" xfId="1899"/>
    <cellStyle name="백분율_95" xfId="1900"/>
    <cellStyle name="뷭?_BOOKSHIP" xfId="1901"/>
    <cellStyle name="안건회계법인" xfId="1902"/>
    <cellStyle name="콤맀_Sheet1_총괄표 (수출입) (2)" xfId="1903"/>
    <cellStyle name="콤마 [ - 유형1" xfId="1904"/>
    <cellStyle name="콤마 [ - 유형2" xfId="1905"/>
    <cellStyle name="콤마 [ - 유형3" xfId="1906"/>
    <cellStyle name="콤마 [ - 유형4" xfId="1907"/>
    <cellStyle name="콤마 [ - 유형5" xfId="1908"/>
    <cellStyle name="콤마 [ - 유형6" xfId="1909"/>
    <cellStyle name="콤마 [ - 유형7" xfId="1910"/>
    <cellStyle name="콤마 [ - 유형8" xfId="1911"/>
    <cellStyle name="콤마 [0]_ 비목별 월별기술 " xfId="1912"/>
    <cellStyle name="콤마_ 비목별 월별기술 " xfId="1913"/>
    <cellStyle name="통화 [0]_1" xfId="1914"/>
    <cellStyle name="통화_1" xfId="1915"/>
    <cellStyle name="표섀_변경(최종)" xfId="1916"/>
    <cellStyle name="표준_ 97년 경영분석(안)" xfId="1917"/>
    <cellStyle name="一般_00Q3902REV.1" xfId="1918"/>
    <cellStyle name="千分位[0]_00Q3902REV.1" xfId="1919"/>
    <cellStyle name="千分位_00Q3902REV.1" xfId="1920"/>
    <cellStyle name="桁区切り [0.00]_3_RawWaterTrans" xfId="1921"/>
    <cellStyle name="桁区切り_BE-BQ" xfId="1922"/>
    <cellStyle name="標準_(A1)BOQ " xfId="1923"/>
    <cellStyle name="貨幣 [0]_00Q3902REV.1" xfId="1924"/>
    <cellStyle name="貨幣[0]_BRE" xfId="1925"/>
    <cellStyle name="貨幣_00Q3902REV.1" xfId="1926"/>
    <cellStyle name="超連結_Book1" xfId="1927"/>
    <cellStyle name="通貨 [0.00]_BE-BQ" xfId="1928"/>
    <cellStyle name="通貨_BE-BQ" xfId="1929"/>
    <cellStyle name="隨後的超連結_Book1" xfId="19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PC/Desktop/T&#7893;ng%20k&#7871;t%20n&#259;m%202016/26.12.2016%20B&#193;O%20C&#193;O%20T&#7892;NG%20K&#7870;T%20N&#258;M%202016/Bao_cao_Duong%20BTXM_19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AppData/Local/Temp/Bao_cao_l&#224;m_GTNT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PC/Desktop/T&#7893;ng%20k&#7871;t%20n&#259;m%202016/26.12.2016%20B&#193;O%20C&#193;O%20T&#7892;NG%20K&#7870;T%20N&#258;M%202016/19-12%20BC%20ket%20qua%20KCH%20kenh%20muo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
      <sheetName val="Phuong, thi tran"/>
      <sheetName val="Ranh dang ky"/>
      <sheetName val="Sheet1"/>
      <sheetName val="8-4"/>
      <sheetName val="14-4"/>
      <sheetName val="21-4"/>
      <sheetName val="28-4"/>
      <sheetName val="5-5"/>
      <sheetName val="12-5"/>
      <sheetName val="19-5"/>
      <sheetName val="26-5"/>
      <sheetName val="02-6"/>
      <sheetName val="09-6"/>
      <sheetName val="16-6"/>
      <sheetName val="23-6"/>
      <sheetName val="30-6"/>
      <sheetName val="07-07"/>
      <sheetName val="14-7"/>
      <sheetName val="21-7"/>
      <sheetName val="28-7"/>
      <sheetName val="04-8"/>
      <sheetName val="11-8"/>
      <sheetName val="18-8"/>
      <sheetName val="26-8"/>
      <sheetName val="1-9"/>
      <sheetName val="8-9"/>
      <sheetName val="15-9"/>
      <sheetName val="22-9"/>
      <sheetName val="29-9"/>
      <sheetName val="05-10"/>
      <sheetName val="13-10"/>
      <sheetName val="20-10"/>
      <sheetName val="27-10"/>
      <sheetName val="04-11"/>
      <sheetName val="10-11"/>
      <sheetName val="18-11"/>
      <sheetName val="24-11"/>
      <sheetName val="8-12"/>
      <sheetName val="16-12"/>
      <sheetName val="19-12"/>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3">
          <cell r="W73">
            <v>3.0919999999999996</v>
          </cell>
        </row>
        <row r="74">
          <cell r="W74">
            <v>1.7000000000000002</v>
          </cell>
        </row>
        <row r="75">
          <cell r="W75">
            <v>0.2</v>
          </cell>
        </row>
        <row r="76">
          <cell r="W76">
            <v>2.04</v>
          </cell>
        </row>
        <row r="77">
          <cell r="W77">
            <v>0.35</v>
          </cell>
        </row>
        <row r="78">
          <cell r="W78">
            <v>0.52</v>
          </cell>
        </row>
        <row r="79">
          <cell r="W79">
            <v>2.9799999999999995</v>
          </cell>
        </row>
        <row r="80">
          <cell r="W80">
            <v>2.4899999999999998</v>
          </cell>
        </row>
        <row r="81">
          <cell r="W81">
            <v>2.2709999999999999</v>
          </cell>
        </row>
        <row r="82">
          <cell r="W82">
            <v>0.3</v>
          </cell>
        </row>
        <row r="83">
          <cell r="W83">
            <v>1.4700000000000002</v>
          </cell>
        </row>
        <row r="84">
          <cell r="W84">
            <v>1.9</v>
          </cell>
        </row>
        <row r="85">
          <cell r="W85">
            <v>1.37</v>
          </cell>
        </row>
        <row r="86">
          <cell r="W86">
            <v>8.24</v>
          </cell>
        </row>
        <row r="87">
          <cell r="W87">
            <v>0</v>
          </cell>
        </row>
        <row r="88">
          <cell r="W88">
            <v>6.5</v>
          </cell>
        </row>
        <row r="89">
          <cell r="W89">
            <v>4.84</v>
          </cell>
        </row>
        <row r="90">
          <cell r="W90">
            <v>0</v>
          </cell>
        </row>
        <row r="91">
          <cell r="W91">
            <v>0</v>
          </cell>
        </row>
        <row r="92">
          <cell r="W92">
            <v>3.5500000000000003</v>
          </cell>
        </row>
        <row r="93">
          <cell r="W93">
            <v>0</v>
          </cell>
        </row>
        <row r="94">
          <cell r="W94">
            <v>1.3619999999999999</v>
          </cell>
        </row>
        <row r="95">
          <cell r="W95">
            <v>0</v>
          </cell>
        </row>
        <row r="96">
          <cell r="W96">
            <v>5.4499999999999993</v>
          </cell>
        </row>
        <row r="97">
          <cell r="W97">
            <v>1.05</v>
          </cell>
        </row>
        <row r="99">
          <cell r="W99">
            <v>3.2</v>
          </cell>
        </row>
        <row r="100">
          <cell r="W100">
            <v>0.5</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2">
          <cell r="W12">
            <v>57.580999999999989</v>
          </cell>
          <cell r="AC12">
            <v>12.047000000000001</v>
          </cell>
        </row>
        <row r="13">
          <cell r="W13">
            <v>103.75000000000001</v>
          </cell>
          <cell r="AC13">
            <v>27.052999999999994</v>
          </cell>
        </row>
        <row r="14">
          <cell r="W14">
            <v>27.470999999999997</v>
          </cell>
          <cell r="AC14">
            <v>18.752999999999997</v>
          </cell>
        </row>
        <row r="15">
          <cell r="W15">
            <v>80.97999999999999</v>
          </cell>
          <cell r="AC15">
            <v>6.4030000000000005</v>
          </cell>
        </row>
        <row r="16">
          <cell r="W16">
            <v>47.760000000000005</v>
          </cell>
          <cell r="AC16">
            <v>35.964999999999996</v>
          </cell>
        </row>
        <row r="17">
          <cell r="W17">
            <v>43.053000000000004</v>
          </cell>
          <cell r="AC17">
            <v>7.2219999999999995</v>
          </cell>
        </row>
        <row r="18">
          <cell r="W18">
            <v>45.83</v>
          </cell>
          <cell r="AC18">
            <v>4.91</v>
          </cell>
        </row>
        <row r="19">
          <cell r="W19">
            <v>99.106000000000023</v>
          </cell>
          <cell r="AC19">
            <v>3.3600000000000003</v>
          </cell>
        </row>
        <row r="20">
          <cell r="W20">
            <v>29.164999999999999</v>
          </cell>
          <cell r="AC20">
            <v>10.601999999999999</v>
          </cell>
        </row>
        <row r="21">
          <cell r="W21">
            <v>9.8059999999999992</v>
          </cell>
          <cell r="AC21">
            <v>9.1310000000000002</v>
          </cell>
        </row>
        <row r="22">
          <cell r="W22">
            <v>0.873</v>
          </cell>
          <cell r="AC22">
            <v>2.5659999999999998</v>
          </cell>
        </row>
        <row r="24">
          <cell r="W24">
            <v>83.075000000000003</v>
          </cell>
          <cell r="AC24">
            <v>2.1</v>
          </cell>
        </row>
        <row r="25">
          <cell r="W25">
            <v>20.2</v>
          </cell>
          <cell r="AC25">
            <v>4.4000000000000004</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xa"/>
      <sheetName val="Phuong, thi tran"/>
      <sheetName val="Ranh dang ky"/>
      <sheetName val="Sheet1"/>
      <sheetName val="8-4"/>
    </sheetNames>
    <sheetDataSet>
      <sheetData sheetId="0" refreshError="1"/>
      <sheetData sheetId="1" refreshError="1"/>
      <sheetData sheetId="2" refreshError="1"/>
      <sheetData sheetId="3" refreshError="1">
        <row r="21">
          <cell r="C21">
            <v>7.1000000000000005</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Xa ko lam"/>
      <sheetName val="Chi tiet"/>
    </sheetNames>
    <sheetDataSet>
      <sheetData sheetId="0"/>
      <sheetData sheetId="1"/>
      <sheetData sheetId="2">
        <row r="6">
          <cell r="F6">
            <v>16.925000000000001</v>
          </cell>
        </row>
        <row r="28">
          <cell r="F28">
            <v>0.60000000000000009</v>
          </cell>
        </row>
        <row r="36">
          <cell r="F36">
            <v>24.76</v>
          </cell>
        </row>
        <row r="64">
          <cell r="F64">
            <v>2.2149999999999999</v>
          </cell>
        </row>
        <row r="81">
          <cell r="F81">
            <v>26</v>
          </cell>
        </row>
        <row r="113">
          <cell r="F113">
            <v>13.860000000000001</v>
          </cell>
        </row>
        <row r="137">
          <cell r="F137">
            <v>6.07</v>
          </cell>
        </row>
        <row r="165">
          <cell r="F165">
            <v>4.8959999999999999</v>
          </cell>
        </row>
        <row r="183">
          <cell r="F183">
            <v>11.799999999999999</v>
          </cell>
        </row>
        <row r="215">
          <cell r="F215">
            <v>1.1600000000000001</v>
          </cell>
        </row>
        <row r="221">
          <cell r="F221">
            <v>0.57000000000000006</v>
          </cell>
        </row>
        <row r="235">
          <cell r="F235">
            <v>15.260000000000002</v>
          </cell>
        </row>
        <row r="257">
          <cell r="F257">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E4" sqref="E4:H4"/>
    </sheetView>
  </sheetViews>
  <sheetFormatPr defaultRowHeight="12.5"/>
  <cols>
    <col min="1" max="1" width="4.296875" customWidth="1"/>
    <col min="2" max="2" width="13.19921875" customWidth="1"/>
    <col min="3" max="3" width="0" hidden="1" customWidth="1"/>
    <col min="6" max="6" width="9.59765625" customWidth="1"/>
    <col min="7" max="7" width="8.69921875" customWidth="1"/>
    <col min="8" max="8" width="11.19921875" customWidth="1"/>
    <col min="9" max="10" width="0" hidden="1" customWidth="1"/>
    <col min="11" max="11" width="10.796875" customWidth="1"/>
    <col min="12" max="12" width="11.09765625" customWidth="1"/>
    <col min="13" max="13" width="11.8984375" customWidth="1"/>
    <col min="15" max="16" width="0" hidden="1" customWidth="1"/>
  </cols>
  <sheetData>
    <row r="1" spans="1:16" ht="13">
      <c r="A1" s="484" t="s">
        <v>630</v>
      </c>
      <c r="B1" s="484"/>
      <c r="C1" s="484"/>
      <c r="D1" s="484"/>
      <c r="E1" s="484"/>
      <c r="F1" s="484"/>
      <c r="G1" s="484"/>
      <c r="H1" s="484"/>
      <c r="I1" s="484"/>
      <c r="J1" s="484"/>
      <c r="K1" s="484"/>
      <c r="L1" s="484"/>
      <c r="M1" s="484"/>
      <c r="N1" s="484"/>
      <c r="O1" s="484"/>
      <c r="P1" s="484"/>
    </row>
    <row r="2" spans="1:16" ht="13">
      <c r="A2" s="55"/>
      <c r="B2" s="56"/>
      <c r="C2" s="56"/>
      <c r="D2" s="57"/>
      <c r="E2" s="58"/>
      <c r="F2" s="57"/>
      <c r="G2" s="57"/>
      <c r="H2" s="57"/>
      <c r="I2" s="57"/>
      <c r="J2" s="57"/>
      <c r="K2" s="58"/>
      <c r="L2" s="57"/>
      <c r="M2" s="57"/>
      <c r="N2" s="57"/>
      <c r="O2" s="55"/>
      <c r="P2" s="55"/>
    </row>
    <row r="3" spans="1:16" ht="22.5" customHeight="1">
      <c r="A3" s="485" t="s">
        <v>0</v>
      </c>
      <c r="B3" s="485" t="s">
        <v>4</v>
      </c>
      <c r="C3" s="486" t="s">
        <v>105</v>
      </c>
      <c r="D3" s="485" t="s">
        <v>5</v>
      </c>
      <c r="E3" s="489" t="s">
        <v>106</v>
      </c>
      <c r="F3" s="490"/>
      <c r="G3" s="490"/>
      <c r="H3" s="490"/>
      <c r="I3" s="490"/>
      <c r="J3" s="490"/>
      <c r="K3" s="490"/>
      <c r="L3" s="490"/>
      <c r="M3" s="490"/>
      <c r="N3" s="491"/>
      <c r="O3" s="492" t="s">
        <v>5</v>
      </c>
      <c r="P3" s="493" t="s">
        <v>132</v>
      </c>
    </row>
    <row r="4" spans="1:16" ht="38" customHeight="1">
      <c r="A4" s="485"/>
      <c r="B4" s="485"/>
      <c r="C4" s="487"/>
      <c r="D4" s="485"/>
      <c r="E4" s="497" t="s">
        <v>6</v>
      </c>
      <c r="F4" s="498"/>
      <c r="G4" s="498"/>
      <c r="H4" s="499"/>
      <c r="I4" s="500" t="s">
        <v>23</v>
      </c>
      <c r="J4" s="500" t="s">
        <v>89</v>
      </c>
      <c r="K4" s="502" t="s">
        <v>629</v>
      </c>
      <c r="L4" s="502"/>
      <c r="M4" s="502"/>
      <c r="N4" s="502"/>
      <c r="O4" s="492"/>
      <c r="P4" s="493"/>
    </row>
    <row r="5" spans="1:16" ht="28" customHeight="1">
      <c r="A5" s="485"/>
      <c r="B5" s="485"/>
      <c r="C5" s="488"/>
      <c r="D5" s="485"/>
      <c r="E5" s="59" t="s">
        <v>3</v>
      </c>
      <c r="F5" s="60" t="s">
        <v>7</v>
      </c>
      <c r="G5" s="61" t="s">
        <v>8</v>
      </c>
      <c r="H5" s="61" t="s">
        <v>9</v>
      </c>
      <c r="I5" s="501"/>
      <c r="J5" s="501"/>
      <c r="K5" s="59" t="s">
        <v>3</v>
      </c>
      <c r="L5" s="60" t="s">
        <v>7</v>
      </c>
      <c r="M5" s="61" t="s">
        <v>8</v>
      </c>
      <c r="N5" s="61" t="s">
        <v>9</v>
      </c>
      <c r="O5" s="492"/>
      <c r="P5" s="493"/>
    </row>
    <row r="6" spans="1:16" ht="20" customHeight="1">
      <c r="A6" s="45">
        <v>1</v>
      </c>
      <c r="B6" s="46" t="s">
        <v>11</v>
      </c>
      <c r="C6" s="62">
        <v>408</v>
      </c>
      <c r="D6" s="63">
        <v>7794</v>
      </c>
      <c r="E6" s="64">
        <f t="shared" ref="E6:E19" si="0">F6+G6+H6</f>
        <v>364</v>
      </c>
      <c r="F6" s="65">
        <v>26</v>
      </c>
      <c r="G6" s="65">
        <v>19</v>
      </c>
      <c r="H6" s="65">
        <v>319</v>
      </c>
      <c r="I6" s="66"/>
      <c r="J6" s="67"/>
      <c r="K6" s="64">
        <f t="shared" ref="K6:K19" si="1">L6+M6+N6</f>
        <v>362</v>
      </c>
      <c r="L6" s="65">
        <v>26</v>
      </c>
      <c r="M6" s="65">
        <v>17</v>
      </c>
      <c r="N6" s="65">
        <v>319</v>
      </c>
      <c r="O6" s="68">
        <v>7542</v>
      </c>
      <c r="P6" s="69">
        <f t="shared" ref="P6:P19" si="2">E6/O6*100</f>
        <v>4.8263060196234422</v>
      </c>
    </row>
    <row r="7" spans="1:16" ht="20" customHeight="1">
      <c r="A7" s="45">
        <v>2</v>
      </c>
      <c r="B7" s="46" t="s">
        <v>12</v>
      </c>
      <c r="C7" s="62">
        <v>678</v>
      </c>
      <c r="D7" s="63">
        <v>27775</v>
      </c>
      <c r="E7" s="64">
        <f t="shared" si="0"/>
        <v>1146</v>
      </c>
      <c r="F7" s="65">
        <v>37</v>
      </c>
      <c r="G7" s="65">
        <v>77</v>
      </c>
      <c r="H7" s="65">
        <v>1032</v>
      </c>
      <c r="I7" s="66"/>
      <c r="J7" s="67"/>
      <c r="K7" s="64">
        <f t="shared" si="1"/>
        <v>1141</v>
      </c>
      <c r="L7" s="483">
        <v>37</v>
      </c>
      <c r="M7" s="483">
        <v>77</v>
      </c>
      <c r="N7" s="483">
        <v>1027</v>
      </c>
      <c r="O7" s="68">
        <v>28319</v>
      </c>
      <c r="P7" s="69">
        <f t="shared" si="2"/>
        <v>4.046753063314382</v>
      </c>
    </row>
    <row r="8" spans="1:16" ht="20" customHeight="1">
      <c r="A8" s="45">
        <v>3</v>
      </c>
      <c r="B8" s="46" t="s">
        <v>19</v>
      </c>
      <c r="C8" s="62">
        <v>526</v>
      </c>
      <c r="D8" s="63">
        <v>30844</v>
      </c>
      <c r="E8" s="64">
        <f t="shared" si="0"/>
        <v>500</v>
      </c>
      <c r="F8" s="65">
        <v>20</v>
      </c>
      <c r="G8" s="65">
        <v>36</v>
      </c>
      <c r="H8" s="65">
        <v>444</v>
      </c>
      <c r="I8" s="66"/>
      <c r="J8" s="67"/>
      <c r="K8" s="64">
        <f t="shared" si="1"/>
        <v>453</v>
      </c>
      <c r="L8" s="482">
        <v>19</v>
      </c>
      <c r="M8" s="482">
        <v>33</v>
      </c>
      <c r="N8" s="482">
        <v>401</v>
      </c>
      <c r="O8" s="68">
        <v>31456</v>
      </c>
      <c r="P8" s="69">
        <f t="shared" si="2"/>
        <v>1.5895218718209563</v>
      </c>
    </row>
    <row r="9" spans="1:16" ht="20" customHeight="1">
      <c r="A9" s="45">
        <v>4</v>
      </c>
      <c r="B9" s="46" t="s">
        <v>20</v>
      </c>
      <c r="C9" s="62">
        <v>6</v>
      </c>
      <c r="D9" s="63">
        <v>1085</v>
      </c>
      <c r="E9" s="64">
        <f t="shared" si="0"/>
        <v>13</v>
      </c>
      <c r="F9" s="65">
        <v>0</v>
      </c>
      <c r="G9" s="65">
        <v>7</v>
      </c>
      <c r="H9" s="65">
        <v>6</v>
      </c>
      <c r="I9" s="66"/>
      <c r="J9" s="67"/>
      <c r="K9" s="64">
        <f t="shared" si="1"/>
        <v>2</v>
      </c>
      <c r="L9" s="482">
        <v>0</v>
      </c>
      <c r="M9" s="482">
        <v>0</v>
      </c>
      <c r="N9" s="482">
        <v>2</v>
      </c>
      <c r="O9" s="63">
        <v>1185</v>
      </c>
      <c r="P9" s="69">
        <f t="shared" si="2"/>
        <v>1.0970464135021099</v>
      </c>
    </row>
    <row r="10" spans="1:16" ht="20" customHeight="1">
      <c r="A10" s="45">
        <v>5</v>
      </c>
      <c r="B10" s="46" t="s">
        <v>15</v>
      </c>
      <c r="C10" s="62">
        <v>363</v>
      </c>
      <c r="D10" s="63">
        <v>31109</v>
      </c>
      <c r="E10" s="64">
        <f t="shared" si="0"/>
        <v>280</v>
      </c>
      <c r="F10" s="65">
        <v>30</v>
      </c>
      <c r="G10" s="65">
        <v>58</v>
      </c>
      <c r="H10" s="65">
        <v>192</v>
      </c>
      <c r="I10" s="66"/>
      <c r="J10" s="67"/>
      <c r="K10" s="64">
        <f t="shared" si="1"/>
        <v>209</v>
      </c>
      <c r="L10" s="482">
        <v>19</v>
      </c>
      <c r="M10" s="482">
        <v>40</v>
      </c>
      <c r="N10" s="482">
        <v>150</v>
      </c>
      <c r="O10" s="68">
        <v>29925</v>
      </c>
      <c r="P10" s="69">
        <f t="shared" si="2"/>
        <v>0.9356725146198831</v>
      </c>
    </row>
    <row r="11" spans="1:16" ht="20" customHeight="1">
      <c r="A11" s="45">
        <v>6</v>
      </c>
      <c r="B11" s="46" t="s">
        <v>24</v>
      </c>
      <c r="C11" s="62">
        <v>82</v>
      </c>
      <c r="D11" s="63">
        <v>6030</v>
      </c>
      <c r="E11" s="64">
        <f t="shared" si="0"/>
        <v>62</v>
      </c>
      <c r="F11" s="65">
        <v>8</v>
      </c>
      <c r="G11" s="65">
        <v>13</v>
      </c>
      <c r="H11" s="65">
        <v>41</v>
      </c>
      <c r="I11" s="66"/>
      <c r="J11" s="67"/>
      <c r="K11" s="64">
        <f t="shared" si="1"/>
        <v>33</v>
      </c>
      <c r="L11" s="482">
        <v>6</v>
      </c>
      <c r="M11" s="482">
        <v>7</v>
      </c>
      <c r="N11" s="482">
        <v>20</v>
      </c>
      <c r="O11" s="68">
        <v>8421</v>
      </c>
      <c r="P11" s="69">
        <f t="shared" si="2"/>
        <v>0.73625460159125999</v>
      </c>
    </row>
    <row r="12" spans="1:16" ht="20" customHeight="1">
      <c r="A12" s="45">
        <v>7</v>
      </c>
      <c r="B12" s="46" t="s">
        <v>10</v>
      </c>
      <c r="C12" s="62">
        <v>71</v>
      </c>
      <c r="D12" s="63">
        <v>8314</v>
      </c>
      <c r="E12" s="64">
        <f t="shared" si="0"/>
        <v>51</v>
      </c>
      <c r="F12" s="481">
        <v>4</v>
      </c>
      <c r="G12" s="481">
        <v>2</v>
      </c>
      <c r="H12" s="481">
        <v>45</v>
      </c>
      <c r="I12" s="66"/>
      <c r="J12" s="67"/>
      <c r="K12" s="64">
        <f t="shared" si="1"/>
        <v>23</v>
      </c>
      <c r="L12" s="482">
        <v>1</v>
      </c>
      <c r="M12" s="482">
        <v>0</v>
      </c>
      <c r="N12" s="482">
        <v>22</v>
      </c>
      <c r="O12" s="68">
        <v>7906</v>
      </c>
      <c r="P12" s="69">
        <f t="shared" si="2"/>
        <v>0.64507968631419177</v>
      </c>
    </row>
    <row r="13" spans="1:16" ht="20" customHeight="1">
      <c r="A13" s="45">
        <v>8</v>
      </c>
      <c r="B13" s="46" t="s">
        <v>16</v>
      </c>
      <c r="C13" s="62">
        <v>173</v>
      </c>
      <c r="D13" s="63">
        <v>24090</v>
      </c>
      <c r="E13" s="64">
        <f t="shared" si="0"/>
        <v>149</v>
      </c>
      <c r="F13" s="482">
        <v>27</v>
      </c>
      <c r="G13" s="482">
        <v>24</v>
      </c>
      <c r="H13" s="482">
        <v>98</v>
      </c>
      <c r="I13" s="66"/>
      <c r="J13" s="67"/>
      <c r="K13" s="64">
        <f t="shared" si="1"/>
        <v>126</v>
      </c>
      <c r="L13" s="482">
        <v>17</v>
      </c>
      <c r="M13" s="482">
        <v>19</v>
      </c>
      <c r="N13" s="482">
        <v>90</v>
      </c>
      <c r="O13" s="68">
        <v>23920</v>
      </c>
      <c r="P13" s="69">
        <f t="shared" si="2"/>
        <v>0.62290969899665549</v>
      </c>
    </row>
    <row r="14" spans="1:16" ht="20" customHeight="1">
      <c r="A14" s="45">
        <v>9</v>
      </c>
      <c r="B14" s="46" t="s">
        <v>18</v>
      </c>
      <c r="C14" s="62">
        <v>220</v>
      </c>
      <c r="D14" s="63">
        <v>32510</v>
      </c>
      <c r="E14" s="64">
        <f t="shared" si="0"/>
        <v>185</v>
      </c>
      <c r="F14" s="482">
        <v>8</v>
      </c>
      <c r="G14" s="482">
        <v>32</v>
      </c>
      <c r="H14" s="482">
        <v>145</v>
      </c>
      <c r="I14" s="66"/>
      <c r="J14" s="67"/>
      <c r="K14" s="64">
        <f t="shared" si="1"/>
        <v>184</v>
      </c>
      <c r="L14" s="482">
        <v>5</v>
      </c>
      <c r="M14" s="482">
        <v>35</v>
      </c>
      <c r="N14" s="482">
        <v>144</v>
      </c>
      <c r="O14" s="68">
        <v>31324</v>
      </c>
      <c r="P14" s="69">
        <f t="shared" si="2"/>
        <v>0.59060145575277745</v>
      </c>
    </row>
    <row r="15" spans="1:16" ht="20" customHeight="1">
      <c r="A15" s="45">
        <v>10</v>
      </c>
      <c r="B15" s="46" t="s">
        <v>21</v>
      </c>
      <c r="C15" s="62">
        <v>231</v>
      </c>
      <c r="D15" s="63">
        <v>36285</v>
      </c>
      <c r="E15" s="64">
        <f t="shared" si="0"/>
        <v>200</v>
      </c>
      <c r="F15" s="482">
        <v>30</v>
      </c>
      <c r="G15" s="482">
        <v>28</v>
      </c>
      <c r="H15" s="482">
        <v>142</v>
      </c>
      <c r="I15" s="66"/>
      <c r="J15" s="67"/>
      <c r="K15" s="64">
        <f t="shared" si="1"/>
        <v>156</v>
      </c>
      <c r="L15" s="482">
        <v>28</v>
      </c>
      <c r="M15" s="482">
        <v>26</v>
      </c>
      <c r="N15" s="482">
        <v>102</v>
      </c>
      <c r="O15" s="68">
        <v>35611</v>
      </c>
      <c r="P15" s="69">
        <f t="shared" si="2"/>
        <v>0.56162421723624723</v>
      </c>
    </row>
    <row r="16" spans="1:16" ht="20" customHeight="1">
      <c r="A16" s="45">
        <v>11</v>
      </c>
      <c r="B16" s="46" t="s">
        <v>13</v>
      </c>
      <c r="C16" s="62">
        <v>173</v>
      </c>
      <c r="D16" s="63">
        <v>34492</v>
      </c>
      <c r="E16" s="64">
        <f t="shared" si="0"/>
        <v>172</v>
      </c>
      <c r="F16" s="482">
        <v>12</v>
      </c>
      <c r="G16" s="482">
        <v>24</v>
      </c>
      <c r="H16" s="482">
        <v>136</v>
      </c>
      <c r="I16" s="66"/>
      <c r="J16" s="67"/>
      <c r="K16" s="64">
        <f t="shared" si="1"/>
        <v>132</v>
      </c>
      <c r="L16" s="482">
        <v>10</v>
      </c>
      <c r="M16" s="482">
        <v>20</v>
      </c>
      <c r="N16" s="482">
        <v>102</v>
      </c>
      <c r="O16" s="68">
        <v>31750</v>
      </c>
      <c r="P16" s="69">
        <f t="shared" si="2"/>
        <v>0.54173228346456692</v>
      </c>
    </row>
    <row r="17" spans="1:16" ht="20" customHeight="1">
      <c r="A17" s="45">
        <v>12</v>
      </c>
      <c r="B17" s="46" t="s">
        <v>17</v>
      </c>
      <c r="C17" s="62">
        <v>238</v>
      </c>
      <c r="D17" s="63">
        <v>34855</v>
      </c>
      <c r="E17" s="64">
        <f t="shared" si="0"/>
        <v>177</v>
      </c>
      <c r="F17" s="482">
        <v>36</v>
      </c>
      <c r="G17" s="482">
        <v>19</v>
      </c>
      <c r="H17" s="482">
        <v>122</v>
      </c>
      <c r="I17" s="66"/>
      <c r="J17" s="70"/>
      <c r="K17" s="64">
        <f t="shared" si="1"/>
        <v>151</v>
      </c>
      <c r="L17" s="482">
        <v>34</v>
      </c>
      <c r="M17" s="482">
        <v>13</v>
      </c>
      <c r="N17" s="482">
        <v>104</v>
      </c>
      <c r="O17" s="68">
        <v>36622</v>
      </c>
      <c r="P17" s="69">
        <f t="shared" si="2"/>
        <v>0.48331603953907482</v>
      </c>
    </row>
    <row r="18" spans="1:16" ht="20" customHeight="1">
      <c r="A18" s="45">
        <v>13</v>
      </c>
      <c r="B18" s="46" t="s">
        <v>14</v>
      </c>
      <c r="C18" s="62">
        <v>166</v>
      </c>
      <c r="D18" s="63">
        <v>22035</v>
      </c>
      <c r="E18" s="64">
        <f t="shared" si="0"/>
        <v>88</v>
      </c>
      <c r="F18" s="482">
        <v>19</v>
      </c>
      <c r="G18" s="482">
        <v>24</v>
      </c>
      <c r="H18" s="482">
        <v>45</v>
      </c>
      <c r="I18" s="66"/>
      <c r="J18" s="67"/>
      <c r="K18" s="64">
        <f t="shared" si="1"/>
        <v>52</v>
      </c>
      <c r="L18" s="482">
        <v>10</v>
      </c>
      <c r="M18" s="482">
        <v>10</v>
      </c>
      <c r="N18" s="482">
        <v>32</v>
      </c>
      <c r="O18" s="68">
        <v>22035</v>
      </c>
      <c r="P18" s="69">
        <f t="shared" si="2"/>
        <v>0.39936464715225778</v>
      </c>
    </row>
    <row r="19" spans="1:16" ht="22.5" customHeight="1">
      <c r="A19" s="494" t="s">
        <v>1</v>
      </c>
      <c r="B19" s="495"/>
      <c r="C19" s="480">
        <f>SUM(C6:C18)</f>
        <v>3335</v>
      </c>
      <c r="D19" s="64">
        <f>SUM(D6:D18)</f>
        <v>297218</v>
      </c>
      <c r="E19" s="64">
        <f t="shared" si="0"/>
        <v>3387</v>
      </c>
      <c r="F19" s="64">
        <f>SUM(F6:F18)</f>
        <v>257</v>
      </c>
      <c r="G19" s="64">
        <f>SUM(G6:G18)</f>
        <v>363</v>
      </c>
      <c r="H19" s="64">
        <f>SUM(H6:H18)</f>
        <v>2767</v>
      </c>
      <c r="I19" s="71">
        <f>E19/D19*100</f>
        <v>1.1395675901190372</v>
      </c>
      <c r="J19" s="70"/>
      <c r="K19" s="64">
        <f t="shared" si="1"/>
        <v>3024</v>
      </c>
      <c r="L19" s="64">
        <f t="shared" ref="L19:N19" si="3">SUM(L6:L18)</f>
        <v>212</v>
      </c>
      <c r="M19" s="64">
        <f t="shared" si="3"/>
        <v>297</v>
      </c>
      <c r="N19" s="64">
        <f t="shared" si="3"/>
        <v>2515</v>
      </c>
      <c r="O19" s="72">
        <f>SUM(O6:O18)</f>
        <v>296016</v>
      </c>
      <c r="P19" s="458">
        <f t="shared" si="2"/>
        <v>1.1441949083833307</v>
      </c>
    </row>
    <row r="20" spans="1:16" ht="31.5" customHeight="1">
      <c r="A20" s="496" t="s">
        <v>139</v>
      </c>
      <c r="B20" s="496"/>
      <c r="C20" s="496"/>
      <c r="D20" s="496"/>
      <c r="E20" s="496"/>
      <c r="F20" s="496"/>
      <c r="G20" s="496"/>
      <c r="H20" s="496"/>
      <c r="I20" s="496"/>
      <c r="J20" s="496"/>
      <c r="K20" s="496"/>
      <c r="L20" s="496"/>
      <c r="M20" s="496"/>
      <c r="N20" s="496"/>
      <c r="O20" s="55"/>
      <c r="P20" s="55"/>
    </row>
    <row r="21" spans="1:16" ht="13">
      <c r="A21" s="55"/>
      <c r="B21" s="55"/>
      <c r="C21" s="55"/>
      <c r="D21" s="55"/>
      <c r="E21" s="58"/>
      <c r="F21" s="57"/>
      <c r="G21" s="57"/>
      <c r="H21" s="57"/>
      <c r="I21" s="57"/>
      <c r="J21" s="57"/>
      <c r="K21" s="58"/>
      <c r="L21" s="57"/>
      <c r="M21" s="57"/>
      <c r="N21" s="57"/>
      <c r="O21" s="55"/>
      <c r="P21" s="55"/>
    </row>
  </sheetData>
  <mergeCells count="14">
    <mergeCell ref="A19:B19"/>
    <mergeCell ref="A20:N20"/>
    <mergeCell ref="E4:H4"/>
    <mergeCell ref="I4:I5"/>
    <mergeCell ref="J4:J5"/>
    <mergeCell ref="K4:N4"/>
    <mergeCell ref="A1:P1"/>
    <mergeCell ref="A3:A5"/>
    <mergeCell ref="B3:B5"/>
    <mergeCell ref="C3:C5"/>
    <mergeCell ref="D3:D5"/>
    <mergeCell ref="E3:N3"/>
    <mergeCell ref="O3:O5"/>
    <mergeCell ref="P3:P5"/>
  </mergeCells>
  <pageMargins left="0.39370078740157483"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4"/>
  <sheetViews>
    <sheetView workbookViewId="0">
      <selection activeCell="F14" sqref="F14"/>
    </sheetView>
  </sheetViews>
  <sheetFormatPr defaultRowHeight="12.5"/>
  <cols>
    <col min="3" max="3" width="14.796875" customWidth="1"/>
    <col min="6" max="6" width="14.69921875" customWidth="1"/>
    <col min="9" max="9" width="11.796875" customWidth="1"/>
  </cols>
  <sheetData>
    <row r="2" spans="3:13" ht="31">
      <c r="C2" s="50" t="s">
        <v>11</v>
      </c>
      <c r="D2" s="51">
        <v>4.4545454545454541</v>
      </c>
      <c r="F2" s="52" t="s">
        <v>21</v>
      </c>
      <c r="G2" s="51">
        <v>1.8666666666666667</v>
      </c>
      <c r="I2" s="52" t="s">
        <v>10</v>
      </c>
      <c r="J2" s="51">
        <v>4.5</v>
      </c>
    </row>
    <row r="3" spans="3:13" ht="15.5">
      <c r="C3" s="52" t="s">
        <v>12</v>
      </c>
      <c r="D3" s="51">
        <v>3.0476190476190474</v>
      </c>
      <c r="F3" s="52" t="s">
        <v>15</v>
      </c>
      <c r="G3" s="51">
        <v>1.2592592592592593</v>
      </c>
      <c r="I3" s="52" t="s">
        <v>15</v>
      </c>
      <c r="J3" s="51">
        <v>1.4444444444444444</v>
      </c>
      <c r="M3" t="s">
        <v>135</v>
      </c>
    </row>
    <row r="4" spans="3:13" ht="31">
      <c r="C4" s="52" t="s">
        <v>16</v>
      </c>
      <c r="D4" s="51">
        <v>2.5882352941176472</v>
      </c>
      <c r="F4" s="52" t="s">
        <v>18</v>
      </c>
      <c r="G4" s="51">
        <v>1.2380952380952381</v>
      </c>
      <c r="I4" s="52" t="s">
        <v>17</v>
      </c>
      <c r="J4" s="51">
        <v>1.44</v>
      </c>
      <c r="M4" t="s">
        <v>136</v>
      </c>
    </row>
    <row r="5" spans="3:13" ht="15.5">
      <c r="C5" s="52" t="s">
        <v>18</v>
      </c>
      <c r="D5" s="51">
        <v>2.4285714285714284</v>
      </c>
      <c r="F5" s="52" t="s">
        <v>11</v>
      </c>
      <c r="G5" s="51">
        <v>1.1818181818181819</v>
      </c>
      <c r="I5" s="52" t="s">
        <v>14</v>
      </c>
      <c r="J5" s="51">
        <v>1.3846153846153846</v>
      </c>
      <c r="M5" t="s">
        <v>137</v>
      </c>
    </row>
    <row r="6" spans="3:13" ht="15.5">
      <c r="C6" s="52" t="s">
        <v>19</v>
      </c>
      <c r="D6" s="51">
        <v>2.3666666666666667</v>
      </c>
      <c r="E6" s="53"/>
      <c r="F6" s="52" t="s">
        <v>14</v>
      </c>
      <c r="G6" s="51">
        <v>1.1538461538461537</v>
      </c>
      <c r="H6" s="53"/>
      <c r="I6" s="52" t="s">
        <v>18</v>
      </c>
      <c r="J6" s="51">
        <v>1.3333333333333333</v>
      </c>
      <c r="M6" t="s">
        <v>138</v>
      </c>
    </row>
    <row r="7" spans="3:13" ht="15.5">
      <c r="C7" s="52" t="s">
        <v>21</v>
      </c>
      <c r="D7" s="51">
        <v>2.2666666666666666</v>
      </c>
      <c r="E7" s="53"/>
      <c r="F7" s="52" t="s">
        <v>16</v>
      </c>
      <c r="G7" s="51">
        <v>1.1176470588235294</v>
      </c>
      <c r="H7" s="53"/>
      <c r="I7" s="52" t="s">
        <v>16</v>
      </c>
      <c r="J7" s="51">
        <v>1.2352941176470589</v>
      </c>
    </row>
    <row r="8" spans="3:13" ht="31">
      <c r="C8" s="41" t="s">
        <v>15</v>
      </c>
      <c r="D8" s="43">
        <v>1.5925925925925926</v>
      </c>
      <c r="F8" s="41" t="s">
        <v>19</v>
      </c>
      <c r="G8" s="43">
        <v>1</v>
      </c>
      <c r="I8" s="41" t="s">
        <v>20</v>
      </c>
      <c r="J8" s="43">
        <v>1</v>
      </c>
    </row>
    <row r="9" spans="3:13" ht="15.5">
      <c r="C9" s="41" t="s">
        <v>17</v>
      </c>
      <c r="D9" s="43">
        <v>1.48</v>
      </c>
      <c r="F9" s="40" t="s">
        <v>17</v>
      </c>
      <c r="G9" s="43">
        <v>0.92</v>
      </c>
      <c r="I9" s="41" t="s">
        <v>19</v>
      </c>
      <c r="J9" s="43">
        <v>0.93333333333333335</v>
      </c>
    </row>
    <row r="10" spans="3:13" ht="15.5">
      <c r="C10" s="41" t="s">
        <v>14</v>
      </c>
      <c r="D10" s="43">
        <v>1.0769230769230769</v>
      </c>
      <c r="F10" s="41" t="s">
        <v>13</v>
      </c>
      <c r="G10" s="43">
        <v>0.90909090909090906</v>
      </c>
      <c r="I10" s="41" t="s">
        <v>11</v>
      </c>
      <c r="J10" s="43">
        <v>0.81818181818181823</v>
      </c>
    </row>
    <row r="11" spans="3:13" ht="15.5">
      <c r="C11" s="41" t="s">
        <v>13</v>
      </c>
      <c r="D11" s="43">
        <v>1.0454545454545454</v>
      </c>
      <c r="F11" s="41" t="s">
        <v>24</v>
      </c>
      <c r="G11" s="43">
        <v>0.83333333333333337</v>
      </c>
      <c r="I11" s="41" t="s">
        <v>21</v>
      </c>
      <c r="J11" s="43">
        <v>0.8</v>
      </c>
    </row>
    <row r="12" spans="3:13" ht="31">
      <c r="C12" s="41" t="s">
        <v>24</v>
      </c>
      <c r="D12" s="43">
        <v>0.5</v>
      </c>
      <c r="F12" s="41" t="s">
        <v>12</v>
      </c>
      <c r="G12" s="43">
        <v>0.7142857142857143</v>
      </c>
      <c r="I12" s="41" t="s">
        <v>12</v>
      </c>
      <c r="J12" s="43">
        <v>0.7142857142857143</v>
      </c>
    </row>
    <row r="13" spans="3:13" ht="15.5">
      <c r="C13" s="41" t="s">
        <v>10</v>
      </c>
      <c r="D13" s="43">
        <v>0.33333333333333331</v>
      </c>
      <c r="F13" s="41" t="s">
        <v>10</v>
      </c>
      <c r="G13" s="43">
        <v>0.66666666666666663</v>
      </c>
      <c r="I13" s="41" t="s">
        <v>13</v>
      </c>
      <c r="J13" s="43">
        <v>0.7142857142857143</v>
      </c>
    </row>
    <row r="14" spans="3:13" ht="31">
      <c r="C14" s="42" t="s">
        <v>20</v>
      </c>
      <c r="D14" s="43">
        <v>0</v>
      </c>
      <c r="F14" s="41" t="s">
        <v>20</v>
      </c>
      <c r="G14" s="43">
        <v>0</v>
      </c>
      <c r="I14" s="41" t="s">
        <v>24</v>
      </c>
      <c r="J14" s="43">
        <v>0.33333333333333331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14"/>
  <sheetViews>
    <sheetView workbookViewId="0">
      <selection activeCell="G20" sqref="G20"/>
    </sheetView>
  </sheetViews>
  <sheetFormatPr defaultRowHeight="12.5"/>
  <cols>
    <col min="3" max="3" width="13.19921875" customWidth="1"/>
  </cols>
  <sheetData>
    <row r="2" spans="3:6" ht="15.5">
      <c r="C2" s="46" t="s">
        <v>11</v>
      </c>
      <c r="D2" s="49">
        <v>364</v>
      </c>
      <c r="E2" s="47">
        <v>7542</v>
      </c>
      <c r="F2">
        <v>4.8263060196234422</v>
      </c>
    </row>
    <row r="3" spans="3:6" ht="15.5">
      <c r="C3" s="46" t="s">
        <v>12</v>
      </c>
      <c r="D3" s="49">
        <v>1146</v>
      </c>
      <c r="E3" s="47">
        <v>28319</v>
      </c>
      <c r="F3">
        <v>4.046753063314382</v>
      </c>
    </row>
    <row r="4" spans="3:6" ht="15.5">
      <c r="C4" s="46" t="s">
        <v>19</v>
      </c>
      <c r="D4" s="49">
        <v>500</v>
      </c>
      <c r="E4" s="47">
        <v>31456</v>
      </c>
      <c r="F4">
        <v>1.5895218718209563</v>
      </c>
    </row>
    <row r="5" spans="3:6" ht="15.5">
      <c r="C5" s="46" t="s">
        <v>20</v>
      </c>
      <c r="D5" s="49">
        <v>13</v>
      </c>
      <c r="E5" s="48">
        <v>1185</v>
      </c>
      <c r="F5">
        <v>1.0970464135021099</v>
      </c>
    </row>
    <row r="6" spans="3:6" ht="15.5">
      <c r="C6" s="46" t="s">
        <v>15</v>
      </c>
      <c r="D6" s="49">
        <v>280</v>
      </c>
      <c r="E6" s="47">
        <v>29925</v>
      </c>
      <c r="F6">
        <v>0.9356725146198831</v>
      </c>
    </row>
    <row r="7" spans="3:6" ht="15.5">
      <c r="C7" s="46" t="s">
        <v>24</v>
      </c>
      <c r="D7" s="49">
        <v>62</v>
      </c>
      <c r="E7" s="47">
        <v>8421</v>
      </c>
      <c r="F7">
        <v>0.73625460159125999</v>
      </c>
    </row>
    <row r="8" spans="3:6" ht="15.5">
      <c r="C8" s="46" t="s">
        <v>10</v>
      </c>
      <c r="D8" s="49">
        <v>51</v>
      </c>
      <c r="E8" s="47">
        <v>7906</v>
      </c>
      <c r="F8">
        <v>0.64507968631419177</v>
      </c>
    </row>
    <row r="9" spans="3:6" ht="15.5">
      <c r="C9" s="46" t="s">
        <v>16</v>
      </c>
      <c r="D9" s="49">
        <v>149</v>
      </c>
      <c r="E9" s="47">
        <v>23920</v>
      </c>
      <c r="F9">
        <v>0.62290969899665549</v>
      </c>
    </row>
    <row r="10" spans="3:6" ht="15.5">
      <c r="C10" s="46" t="s">
        <v>18</v>
      </c>
      <c r="D10" s="49">
        <v>185</v>
      </c>
      <c r="E10" s="47">
        <v>31324</v>
      </c>
      <c r="F10">
        <v>0.59060145575277745</v>
      </c>
    </row>
    <row r="11" spans="3:6" ht="15.5">
      <c r="C11" s="46" t="s">
        <v>21</v>
      </c>
      <c r="D11" s="49">
        <v>200</v>
      </c>
      <c r="E11" s="47">
        <v>35611</v>
      </c>
      <c r="F11">
        <v>0.56162421723624723</v>
      </c>
    </row>
    <row r="12" spans="3:6" ht="15.5">
      <c r="C12" s="46" t="s">
        <v>13</v>
      </c>
      <c r="D12" s="49">
        <v>172</v>
      </c>
      <c r="E12" s="47">
        <v>31750</v>
      </c>
      <c r="F12">
        <v>0.54173228346456692</v>
      </c>
    </row>
    <row r="13" spans="3:6" ht="15.5">
      <c r="C13" s="46" t="s">
        <v>17</v>
      </c>
      <c r="D13" s="49">
        <v>177</v>
      </c>
      <c r="E13" s="47">
        <v>36622</v>
      </c>
      <c r="F13">
        <v>0.48331603953907482</v>
      </c>
    </row>
    <row r="14" spans="3:6" ht="15.5">
      <c r="C14" s="46" t="s">
        <v>14</v>
      </c>
      <c r="D14" s="49">
        <v>88</v>
      </c>
      <c r="E14" s="47">
        <v>22035</v>
      </c>
      <c r="F14">
        <v>0.39936464715225778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3:M17"/>
  <sheetViews>
    <sheetView topLeftCell="A7" workbookViewId="0">
      <selection activeCell="N16" sqref="N16"/>
    </sheetView>
  </sheetViews>
  <sheetFormatPr defaultRowHeight="12.5"/>
  <cols>
    <col min="4" max="4" width="11.69921875" customWidth="1"/>
  </cols>
  <sheetData>
    <row r="3" spans="4:13" ht="31">
      <c r="D3" s="40" t="s">
        <v>17</v>
      </c>
      <c r="E3" s="39">
        <v>10</v>
      </c>
      <c r="H3" s="41" t="s">
        <v>12</v>
      </c>
      <c r="I3" s="44">
        <v>13</v>
      </c>
      <c r="L3" s="41" t="s">
        <v>19</v>
      </c>
      <c r="M3" s="44">
        <v>18</v>
      </c>
    </row>
    <row r="4" spans="4:13" ht="31">
      <c r="D4" s="41" t="s">
        <v>13</v>
      </c>
      <c r="E4" s="39">
        <v>9</v>
      </c>
      <c r="H4" s="41" t="s">
        <v>19</v>
      </c>
      <c r="I4" s="44">
        <v>12</v>
      </c>
      <c r="L4" s="41" t="s">
        <v>21</v>
      </c>
      <c r="M4" s="44">
        <v>13</v>
      </c>
    </row>
    <row r="5" spans="4:13" ht="31">
      <c r="D5" s="41" t="s">
        <v>18</v>
      </c>
      <c r="E5" s="39">
        <v>7</v>
      </c>
      <c r="H5" s="41" t="s">
        <v>13</v>
      </c>
      <c r="I5" s="44">
        <v>12</v>
      </c>
      <c r="L5" s="41" t="s">
        <v>15</v>
      </c>
      <c r="M5" s="44">
        <v>12</v>
      </c>
    </row>
    <row r="6" spans="4:13" ht="31">
      <c r="D6" s="41" t="s">
        <v>12</v>
      </c>
      <c r="E6" s="39">
        <v>6</v>
      </c>
      <c r="H6" s="41" t="s">
        <v>17</v>
      </c>
      <c r="I6" s="44">
        <v>9</v>
      </c>
      <c r="L6" s="41" t="s">
        <v>13</v>
      </c>
      <c r="M6" s="44">
        <v>12</v>
      </c>
    </row>
    <row r="7" spans="4:13" ht="31">
      <c r="D7" s="41" t="s">
        <v>21</v>
      </c>
      <c r="E7" s="39">
        <v>6</v>
      </c>
      <c r="H7" s="41" t="s">
        <v>21</v>
      </c>
      <c r="I7" s="44">
        <v>7</v>
      </c>
      <c r="L7" s="41" t="s">
        <v>12</v>
      </c>
      <c r="M7" s="44">
        <v>11</v>
      </c>
    </row>
    <row r="8" spans="4:13" ht="31">
      <c r="D8" s="41" t="s">
        <v>14</v>
      </c>
      <c r="E8" s="39">
        <v>6</v>
      </c>
      <c r="H8" s="41" t="s">
        <v>15</v>
      </c>
      <c r="I8" s="44">
        <v>7</v>
      </c>
      <c r="L8" s="41" t="s">
        <v>17</v>
      </c>
      <c r="M8" s="44">
        <v>7</v>
      </c>
    </row>
    <row r="9" spans="4:13" ht="31">
      <c r="D9" s="41" t="s">
        <v>19</v>
      </c>
      <c r="E9" s="39">
        <v>5</v>
      </c>
      <c r="H9" s="41" t="s">
        <v>16</v>
      </c>
      <c r="I9" s="44">
        <v>7</v>
      </c>
      <c r="L9" s="41" t="s">
        <v>18</v>
      </c>
      <c r="M9" s="44">
        <v>7</v>
      </c>
    </row>
    <row r="10" spans="4:13" ht="31">
      <c r="D10" s="41" t="s">
        <v>24</v>
      </c>
      <c r="E10" s="39">
        <v>5</v>
      </c>
      <c r="H10" s="40" t="s">
        <v>18</v>
      </c>
      <c r="I10" s="44">
        <v>6</v>
      </c>
      <c r="L10" s="41" t="s">
        <v>16</v>
      </c>
      <c r="M10" s="44">
        <v>7</v>
      </c>
    </row>
    <row r="11" spans="4:13" ht="31">
      <c r="D11" s="41" t="s">
        <v>15</v>
      </c>
      <c r="E11" s="39">
        <v>4</v>
      </c>
      <c r="H11" s="41" t="s">
        <v>11</v>
      </c>
      <c r="I11" s="44">
        <v>5</v>
      </c>
      <c r="L11" s="41" t="s">
        <v>11</v>
      </c>
      <c r="M11" s="44">
        <v>6</v>
      </c>
    </row>
    <row r="12" spans="4:13" ht="31">
      <c r="D12" s="41" t="s">
        <v>10</v>
      </c>
      <c r="E12" s="39">
        <v>4</v>
      </c>
      <c r="H12" s="41" t="s">
        <v>14</v>
      </c>
      <c r="I12" s="44">
        <v>5</v>
      </c>
      <c r="L12" s="41" t="s">
        <v>24</v>
      </c>
      <c r="M12" s="44">
        <v>4</v>
      </c>
    </row>
    <row r="13" spans="4:13" ht="31">
      <c r="D13" s="41" t="s">
        <v>11</v>
      </c>
      <c r="E13" s="39">
        <v>1</v>
      </c>
      <c r="H13" s="41" t="s">
        <v>24</v>
      </c>
      <c r="I13" s="44">
        <v>3</v>
      </c>
      <c r="L13" s="41" t="s">
        <v>14</v>
      </c>
      <c r="M13" s="44">
        <v>2</v>
      </c>
    </row>
    <row r="14" spans="4:13" ht="31">
      <c r="D14" s="41" t="s">
        <v>16</v>
      </c>
      <c r="E14" s="39">
        <v>1</v>
      </c>
      <c r="H14" s="41" t="s">
        <v>10</v>
      </c>
      <c r="I14" s="44">
        <v>3</v>
      </c>
      <c r="L14" s="41" t="s">
        <v>10</v>
      </c>
      <c r="M14" s="44">
        <v>1</v>
      </c>
    </row>
    <row r="15" spans="4:13" ht="46.5">
      <c r="D15" s="42" t="s">
        <v>20</v>
      </c>
      <c r="E15" s="39">
        <v>1</v>
      </c>
      <c r="H15" s="41" t="s">
        <v>20</v>
      </c>
      <c r="I15" s="44">
        <v>1</v>
      </c>
      <c r="L15" s="41" t="s">
        <v>20</v>
      </c>
      <c r="M15" s="44">
        <v>0</v>
      </c>
    </row>
    <row r="17" spans="5:13">
      <c r="E17">
        <f>SUM(E3:E15)</f>
        <v>65</v>
      </c>
      <c r="I17">
        <f>SUM(I3:I15)</f>
        <v>90</v>
      </c>
      <c r="M17">
        <f>SUM(M3:M15)</f>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A261"/>
  <sheetViews>
    <sheetView workbookViewId="0">
      <selection activeCell="A2" sqref="A2:AA2"/>
    </sheetView>
  </sheetViews>
  <sheetFormatPr defaultColWidth="9.09765625" defaultRowHeight="10.5"/>
  <cols>
    <col min="1" max="1" width="3.3984375" style="10" customWidth="1"/>
    <col min="2" max="2" width="16.8984375" style="11" customWidth="1"/>
    <col min="3" max="3" width="7" style="21" customWidth="1"/>
    <col min="4" max="7" width="6" style="21" customWidth="1"/>
    <col min="8" max="8" width="7.59765625" style="21" customWidth="1"/>
    <col min="9" max="9" width="6.8984375" style="21" customWidth="1"/>
    <col min="10" max="11" width="6" style="21" customWidth="1"/>
    <col min="12" max="12" width="6.69921875" style="21" customWidth="1"/>
    <col min="13" max="13" width="7" style="21" customWidth="1"/>
    <col min="14" max="17" width="6" style="21" customWidth="1"/>
    <col min="18" max="18" width="6.69921875" style="21" customWidth="1"/>
    <col min="19" max="19" width="7.09765625" style="21" customWidth="1"/>
    <col min="20" max="22" width="6" style="21" customWidth="1"/>
    <col min="23" max="27" width="6" style="22" customWidth="1"/>
    <col min="28" max="16384" width="9.09765625" style="11"/>
  </cols>
  <sheetData>
    <row r="1" spans="1:27" s="5" customFormat="1" ht="15" customHeight="1">
      <c r="A1" s="1"/>
      <c r="B1" s="2"/>
      <c r="C1" s="3"/>
      <c r="D1" s="3"/>
      <c r="E1" s="3"/>
      <c r="F1" s="3"/>
      <c r="G1" s="3"/>
      <c r="H1" s="3"/>
      <c r="I1" s="3"/>
      <c r="J1" s="3"/>
      <c r="K1" s="3"/>
      <c r="L1" s="3"/>
      <c r="M1" s="3"/>
      <c r="N1" s="3"/>
      <c r="O1" s="3"/>
      <c r="P1" s="3"/>
      <c r="Q1" s="3"/>
      <c r="R1" s="3"/>
      <c r="S1" s="3"/>
      <c r="T1" s="3"/>
      <c r="U1" s="3"/>
      <c r="V1" s="3"/>
      <c r="W1" s="4"/>
      <c r="X1" s="4"/>
      <c r="Y1" s="4"/>
      <c r="Z1" s="4"/>
      <c r="AA1" s="4"/>
    </row>
    <row r="2" spans="1:27" s="6" customFormat="1" ht="43.5" customHeight="1">
      <c r="A2" s="594" t="s">
        <v>88</v>
      </c>
      <c r="B2" s="594"/>
      <c r="C2" s="595"/>
      <c r="D2" s="595"/>
      <c r="E2" s="595"/>
      <c r="F2" s="595"/>
      <c r="G2" s="595"/>
      <c r="H2" s="595"/>
      <c r="I2" s="595"/>
      <c r="J2" s="595"/>
      <c r="K2" s="595"/>
      <c r="L2" s="595"/>
      <c r="M2" s="595"/>
      <c r="N2" s="596"/>
      <c r="O2" s="595"/>
      <c r="P2" s="595"/>
      <c r="Q2" s="595"/>
      <c r="R2" s="595"/>
      <c r="S2" s="595"/>
      <c r="T2" s="595"/>
      <c r="U2" s="595"/>
      <c r="V2" s="595"/>
      <c r="W2" s="594"/>
      <c r="X2" s="594"/>
      <c r="Y2" s="594"/>
      <c r="Z2" s="594"/>
      <c r="AA2" s="594"/>
    </row>
    <row r="3" spans="1:27" s="6" customFormat="1" ht="18.75" customHeight="1">
      <c r="A3" s="597" t="s">
        <v>29</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row>
    <row r="4" spans="1:27" s="5" customFormat="1" ht="21" customHeight="1">
      <c r="A4" s="1"/>
      <c r="B4" s="7"/>
      <c r="C4" s="3"/>
      <c r="D4" s="3"/>
      <c r="E4" s="3"/>
      <c r="F4" s="3"/>
      <c r="G4" s="3"/>
      <c r="H4" s="3"/>
      <c r="I4" s="3"/>
      <c r="J4" s="3"/>
      <c r="K4" s="3"/>
      <c r="L4" s="3"/>
      <c r="M4" s="3"/>
      <c r="N4" s="3"/>
      <c r="O4" s="3"/>
      <c r="P4" s="3"/>
      <c r="Q4" s="3"/>
      <c r="R4" s="3"/>
      <c r="S4" s="3"/>
      <c r="T4" s="3"/>
      <c r="U4" s="3"/>
      <c r="V4" s="3"/>
      <c r="W4" s="4"/>
      <c r="X4" s="598" t="s">
        <v>30</v>
      </c>
      <c r="Y4" s="598"/>
      <c r="Z4" s="598"/>
      <c r="AA4" s="598"/>
    </row>
    <row r="5" spans="1:27" s="6" customFormat="1" ht="21" customHeight="1">
      <c r="A5" s="599" t="s">
        <v>0</v>
      </c>
      <c r="B5" s="599" t="s">
        <v>31</v>
      </c>
      <c r="C5" s="600" t="s">
        <v>32</v>
      </c>
      <c r="D5" s="600"/>
      <c r="E5" s="600"/>
      <c r="F5" s="600"/>
      <c r="G5" s="600"/>
      <c r="H5" s="600"/>
      <c r="I5" s="600"/>
      <c r="J5" s="600"/>
      <c r="K5" s="600"/>
      <c r="L5" s="600"/>
      <c r="M5" s="600" t="s">
        <v>33</v>
      </c>
      <c r="N5" s="600"/>
      <c r="O5" s="600"/>
      <c r="P5" s="600"/>
      <c r="Q5" s="600"/>
      <c r="R5" s="600" t="s">
        <v>34</v>
      </c>
      <c r="S5" s="600"/>
      <c r="T5" s="600"/>
      <c r="U5" s="600"/>
      <c r="V5" s="600"/>
      <c r="W5" s="601" t="s">
        <v>35</v>
      </c>
      <c r="X5" s="601"/>
      <c r="Y5" s="601"/>
      <c r="Z5" s="601"/>
      <c r="AA5" s="601"/>
    </row>
    <row r="6" spans="1:27" s="6" customFormat="1" ht="21" customHeight="1">
      <c r="A6" s="599"/>
      <c r="B6" s="599"/>
      <c r="C6" s="600" t="s">
        <v>2</v>
      </c>
      <c r="D6" s="600" t="s">
        <v>36</v>
      </c>
      <c r="E6" s="600"/>
      <c r="F6" s="600"/>
      <c r="G6" s="600"/>
      <c r="H6" s="600" t="s">
        <v>37</v>
      </c>
      <c r="I6" s="600"/>
      <c r="J6" s="600"/>
      <c r="K6" s="600"/>
      <c r="L6" s="600"/>
      <c r="M6" s="600"/>
      <c r="N6" s="600"/>
      <c r="O6" s="600"/>
      <c r="P6" s="600"/>
      <c r="Q6" s="600"/>
      <c r="R6" s="600"/>
      <c r="S6" s="600"/>
      <c r="T6" s="600"/>
      <c r="U6" s="600"/>
      <c r="V6" s="600"/>
      <c r="W6" s="601"/>
      <c r="X6" s="601"/>
      <c r="Y6" s="601"/>
      <c r="Z6" s="601"/>
      <c r="AA6" s="601"/>
    </row>
    <row r="7" spans="1:27" s="6" customFormat="1" ht="21" customHeight="1">
      <c r="A7" s="599"/>
      <c r="B7" s="599"/>
      <c r="C7" s="600"/>
      <c r="D7" s="600"/>
      <c r="E7" s="600"/>
      <c r="F7" s="600"/>
      <c r="G7" s="600"/>
      <c r="H7" s="602" t="s">
        <v>38</v>
      </c>
      <c r="I7" s="600" t="s">
        <v>39</v>
      </c>
      <c r="J7" s="600"/>
      <c r="K7" s="600"/>
      <c r="L7" s="600"/>
      <c r="M7" s="602" t="s">
        <v>38</v>
      </c>
      <c r="N7" s="600" t="s">
        <v>39</v>
      </c>
      <c r="O7" s="600"/>
      <c r="P7" s="600"/>
      <c r="Q7" s="600"/>
      <c r="R7" s="602" t="s">
        <v>38</v>
      </c>
      <c r="S7" s="602" t="s">
        <v>39</v>
      </c>
      <c r="T7" s="602"/>
      <c r="U7" s="602"/>
      <c r="V7" s="602"/>
      <c r="W7" s="603" t="s">
        <v>38</v>
      </c>
      <c r="X7" s="601" t="s">
        <v>39</v>
      </c>
      <c r="Y7" s="601"/>
      <c r="Z7" s="601"/>
      <c r="AA7" s="601"/>
    </row>
    <row r="8" spans="1:27" s="6" customFormat="1" ht="31.5" customHeight="1">
      <c r="A8" s="599"/>
      <c r="B8" s="599"/>
      <c r="C8" s="600"/>
      <c r="D8" s="8" t="s">
        <v>38</v>
      </c>
      <c r="E8" s="8" t="s">
        <v>40</v>
      </c>
      <c r="F8" s="8" t="s">
        <v>41</v>
      </c>
      <c r="G8" s="8" t="s">
        <v>42</v>
      </c>
      <c r="H8" s="602"/>
      <c r="I8" s="8" t="s">
        <v>40</v>
      </c>
      <c r="J8" s="8" t="s">
        <v>41</v>
      </c>
      <c r="K8" s="8" t="s">
        <v>42</v>
      </c>
      <c r="L8" s="8" t="s">
        <v>43</v>
      </c>
      <c r="M8" s="602"/>
      <c r="N8" s="8" t="s">
        <v>40</v>
      </c>
      <c r="O8" s="8" t="s">
        <v>41</v>
      </c>
      <c r="P8" s="8" t="s">
        <v>42</v>
      </c>
      <c r="Q8" s="8" t="s">
        <v>43</v>
      </c>
      <c r="R8" s="602"/>
      <c r="S8" s="8" t="s">
        <v>40</v>
      </c>
      <c r="T8" s="8" t="s">
        <v>41</v>
      </c>
      <c r="U8" s="8" t="s">
        <v>42</v>
      </c>
      <c r="V8" s="8" t="s">
        <v>43</v>
      </c>
      <c r="W8" s="603"/>
      <c r="X8" s="9" t="s">
        <v>40</v>
      </c>
      <c r="Y8" s="9" t="s">
        <v>41</v>
      </c>
      <c r="Z8" s="9" t="s">
        <v>42</v>
      </c>
      <c r="AA8" s="9" t="s">
        <v>43</v>
      </c>
    </row>
    <row r="9" spans="1:27">
      <c r="A9" s="27"/>
      <c r="B9" s="28"/>
      <c r="C9" s="29"/>
      <c r="D9" s="29"/>
      <c r="E9" s="29"/>
      <c r="F9" s="29"/>
      <c r="G9" s="29"/>
      <c r="H9" s="29"/>
      <c r="I9" s="29"/>
      <c r="J9" s="29"/>
      <c r="K9" s="29"/>
      <c r="L9" s="29"/>
      <c r="M9" s="29"/>
      <c r="N9" s="29"/>
      <c r="O9" s="29"/>
      <c r="P9" s="29"/>
      <c r="Q9" s="29"/>
      <c r="R9" s="29"/>
      <c r="S9" s="29"/>
      <c r="T9" s="29"/>
      <c r="U9" s="29"/>
      <c r="V9" s="29"/>
      <c r="W9" s="30"/>
      <c r="X9" s="30"/>
      <c r="Y9" s="30"/>
      <c r="Z9" s="30"/>
      <c r="AA9" s="30"/>
    </row>
    <row r="10" spans="1:27" s="12" customFormat="1" ht="18.75" customHeight="1">
      <c r="A10" s="31" t="s">
        <v>25</v>
      </c>
      <c r="B10" s="32" t="s">
        <v>44</v>
      </c>
      <c r="C10" s="33">
        <f>+C11+C12</f>
        <v>436151.09645400004</v>
      </c>
      <c r="D10" s="33">
        <f t="shared" ref="D10:V10" si="0">+D11+D12</f>
        <v>5827.946453999999</v>
      </c>
      <c r="E10" s="33">
        <f t="shared" si="0"/>
        <v>5827.946453999999</v>
      </c>
      <c r="F10" s="33">
        <f t="shared" si="0"/>
        <v>0</v>
      </c>
      <c r="G10" s="33">
        <f t="shared" si="0"/>
        <v>0</v>
      </c>
      <c r="H10" s="33">
        <f t="shared" si="0"/>
        <v>430323.15</v>
      </c>
      <c r="I10" s="33">
        <f t="shared" si="0"/>
        <v>244768</v>
      </c>
      <c r="J10" s="33">
        <f t="shared" si="0"/>
        <v>15200</v>
      </c>
      <c r="K10" s="33">
        <f t="shared" si="0"/>
        <v>23355.15</v>
      </c>
      <c r="L10" s="33">
        <f t="shared" si="0"/>
        <v>147000</v>
      </c>
      <c r="M10" s="33">
        <f t="shared" si="0"/>
        <v>134401.17687299999</v>
      </c>
      <c r="N10" s="33">
        <f t="shared" si="0"/>
        <v>56941.45687300001</v>
      </c>
      <c r="O10" s="33">
        <f t="shared" si="0"/>
        <v>6719.27</v>
      </c>
      <c r="P10" s="33">
        <f t="shared" si="0"/>
        <v>2599.7039999999997</v>
      </c>
      <c r="Q10" s="33">
        <f t="shared" si="0"/>
        <v>68140.745999999999</v>
      </c>
      <c r="R10" s="33">
        <f t="shared" si="0"/>
        <v>301749.91958099999</v>
      </c>
      <c r="S10" s="33">
        <f t="shared" si="0"/>
        <v>193654.489581</v>
      </c>
      <c r="T10" s="33">
        <f t="shared" si="0"/>
        <v>8480.73</v>
      </c>
      <c r="U10" s="33">
        <f t="shared" si="0"/>
        <v>20755.446</v>
      </c>
      <c r="V10" s="33">
        <f t="shared" si="0"/>
        <v>78859.254000000001</v>
      </c>
      <c r="W10" s="34">
        <f>M10/C10</f>
        <v>0.30815278917262795</v>
      </c>
      <c r="X10" s="34">
        <f>N10/(E10+I10)</f>
        <v>0.2272241737296111</v>
      </c>
      <c r="Y10" s="34">
        <f>O10/(F10+J10)</f>
        <v>0.44205723684210529</v>
      </c>
      <c r="Z10" s="34">
        <f>P10/(G10+K10)</f>
        <v>0.11131180917270921</v>
      </c>
      <c r="AA10" s="34">
        <f>Q10/L10</f>
        <v>0.46354248979591839</v>
      </c>
    </row>
    <row r="11" spans="1:27" ht="18.75" customHeight="1">
      <c r="A11" s="35" t="s">
        <v>45</v>
      </c>
      <c r="B11" s="36" t="s">
        <v>46</v>
      </c>
      <c r="C11" s="37">
        <f>+D11+H11</f>
        <v>275278.26300000004</v>
      </c>
      <c r="D11" s="37">
        <f>SUM(E11:G11)</f>
        <v>5482.8629999999994</v>
      </c>
      <c r="E11" s="37">
        <f>+E29+E47+E65+E83+E101+E119+E137+E155+E173+E191+E209+E227+E245</f>
        <v>5482.8629999999994</v>
      </c>
      <c r="F11" s="37">
        <f>+F29+F47+F65+F83+F101+F119+F137+F155+F173+F191+F209+F227+F245</f>
        <v>0</v>
      </c>
      <c r="G11" s="37">
        <f>+G29+G47+G65+G83+G101+G119+G137+G155+G173+G191+G209+G227+G245</f>
        <v>0</v>
      </c>
      <c r="H11" s="37">
        <f>SUM(I11:L11)</f>
        <v>269795.40000000002</v>
      </c>
      <c r="I11" s="37">
        <f>+I29+I47+I65+I83+I101+I119+I137+I155+I173+I191+I209+I227+I245</f>
        <v>87620</v>
      </c>
      <c r="J11" s="37">
        <f>+J29+J47+J65+J83+J101+J119+J137+J155+J173+J191+J209+J227+J245</f>
        <v>14600</v>
      </c>
      <c r="K11" s="37">
        <f>+K29+K47+K65+K83+K101+K119+K137+K155+K173+K191+K209+K227+K245</f>
        <v>20575.400000000001</v>
      </c>
      <c r="L11" s="37">
        <f>+L29+L47+L65+L83+L101+L119+L137+L155+L173+L191+L209+L227+L245</f>
        <v>147000</v>
      </c>
      <c r="M11" s="37">
        <f>SUM(N11:Q11)</f>
        <v>107471.922737</v>
      </c>
      <c r="N11" s="37">
        <f>+N29+N47+N65+N83+N101+N119+N137+N155+N173+N191+N209+N227+N245</f>
        <v>30588.596737000003</v>
      </c>
      <c r="O11" s="37">
        <f>+O29+O47+O65+O83+O101+O119+O137+O155+O173+O191+O209+O227+O245</f>
        <v>6659.27</v>
      </c>
      <c r="P11" s="37">
        <f>+P29+P47+P65+P83+P101+P119+P137+P155+P173+P191+P209+P227+P245</f>
        <v>2083.31</v>
      </c>
      <c r="Q11" s="37">
        <f>+Q29+Q47+Q65+Q83+Q101+Q119+Q137+Q155+Q173+Q191+Q209+Q227+Q245</f>
        <v>68140.745999999999</v>
      </c>
      <c r="R11" s="37">
        <f>SUM(S11:V11)</f>
        <v>167806.34026299999</v>
      </c>
      <c r="S11" s="37">
        <f>(E11+I11)-N11</f>
        <v>62514.266262999998</v>
      </c>
      <c r="T11" s="37">
        <f>(F11+J11)-O11</f>
        <v>7940.73</v>
      </c>
      <c r="U11" s="37">
        <f>(G11+K11)-P11</f>
        <v>18492.09</v>
      </c>
      <c r="V11" s="37">
        <f>L11-Q11</f>
        <v>78859.254000000001</v>
      </c>
      <c r="W11" s="38">
        <f t="shared" ref="W11:W27" si="1">M11/C11</f>
        <v>0.39041194740828478</v>
      </c>
      <c r="X11" s="38">
        <f t="shared" ref="X11:X27" si="2">N11/(E11+I11)</f>
        <v>0.32854625251427555</v>
      </c>
      <c r="Y11" s="38">
        <f>O11/(F11+J11)</f>
        <v>0.45611438356164385</v>
      </c>
      <c r="Z11" s="38">
        <f t="shared" ref="Z11:Z27" si="3">P11/(G11+K11)</f>
        <v>0.10125246653771007</v>
      </c>
      <c r="AA11" s="38">
        <f>Q11/L11</f>
        <v>0.46354248979591839</v>
      </c>
    </row>
    <row r="12" spans="1:27" ht="15.75" customHeight="1">
      <c r="A12" s="35" t="s">
        <v>45</v>
      </c>
      <c r="B12" s="36" t="s">
        <v>47</v>
      </c>
      <c r="C12" s="37">
        <f t="shared" ref="C12:V12" si="4">SUM(C13:C27)</f>
        <v>160872.83345400001</v>
      </c>
      <c r="D12" s="37">
        <f t="shared" si="4"/>
        <v>345.08345399999996</v>
      </c>
      <c r="E12" s="37">
        <f t="shared" si="4"/>
        <v>345.08345399999996</v>
      </c>
      <c r="F12" s="37">
        <f t="shared" si="4"/>
        <v>0</v>
      </c>
      <c r="G12" s="37">
        <f t="shared" si="4"/>
        <v>0</v>
      </c>
      <c r="H12" s="37">
        <f t="shared" si="4"/>
        <v>160527.75</v>
      </c>
      <c r="I12" s="37">
        <f t="shared" si="4"/>
        <v>157148</v>
      </c>
      <c r="J12" s="37">
        <f t="shared" si="4"/>
        <v>600</v>
      </c>
      <c r="K12" s="37">
        <f t="shared" si="4"/>
        <v>2779.75</v>
      </c>
      <c r="L12" s="37">
        <f t="shared" si="4"/>
        <v>0</v>
      </c>
      <c r="M12" s="37">
        <f t="shared" si="4"/>
        <v>26929.254136000003</v>
      </c>
      <c r="N12" s="37">
        <f t="shared" si="4"/>
        <v>26352.860136000007</v>
      </c>
      <c r="O12" s="37">
        <f t="shared" si="4"/>
        <v>60</v>
      </c>
      <c r="P12" s="37">
        <f t="shared" si="4"/>
        <v>516.39400000000001</v>
      </c>
      <c r="Q12" s="37">
        <f t="shared" si="4"/>
        <v>0</v>
      </c>
      <c r="R12" s="37">
        <f t="shared" si="4"/>
        <v>133943.579318</v>
      </c>
      <c r="S12" s="37">
        <f t="shared" si="4"/>
        <v>131140.223318</v>
      </c>
      <c r="T12" s="37">
        <f t="shared" si="4"/>
        <v>540</v>
      </c>
      <c r="U12" s="37">
        <f t="shared" si="4"/>
        <v>2263.3559999999998</v>
      </c>
      <c r="V12" s="37">
        <f t="shared" si="4"/>
        <v>0</v>
      </c>
      <c r="W12" s="38">
        <f t="shared" si="1"/>
        <v>0.16739466544983903</v>
      </c>
      <c r="X12" s="38">
        <f t="shared" si="2"/>
        <v>0.16732709499396556</v>
      </c>
      <c r="Y12" s="38">
        <f>O12/(F12+J12)</f>
        <v>0.1</v>
      </c>
      <c r="Z12" s="38">
        <f t="shared" si="3"/>
        <v>0.18576994334022845</v>
      </c>
      <c r="AA12" s="38"/>
    </row>
    <row r="13" spans="1:27" ht="15.75" hidden="1" customHeight="1">
      <c r="A13" s="35" t="s">
        <v>48</v>
      </c>
      <c r="B13" s="36" t="s">
        <v>49</v>
      </c>
      <c r="C13" s="37">
        <f t="shared" ref="C13:C27" si="5">+D13+H13</f>
        <v>40275.083454</v>
      </c>
      <c r="D13" s="37">
        <f t="shared" ref="D13:D27" si="6">SUM(E13:G13)</f>
        <v>335.08345399999996</v>
      </c>
      <c r="E13" s="37">
        <f t="shared" ref="E13:G27" si="7">+E31+E49+E67+E85+E103+E121+E139+E157+E175+E193+E211+E229+E247</f>
        <v>335.08345399999996</v>
      </c>
      <c r="F13" s="37">
        <f t="shared" si="7"/>
        <v>0</v>
      </c>
      <c r="G13" s="37">
        <f t="shared" si="7"/>
        <v>0</v>
      </c>
      <c r="H13" s="37">
        <f>SUM(I13:L13)</f>
        <v>39940</v>
      </c>
      <c r="I13" s="37">
        <f t="shared" ref="I13:L27" si="8">+I31+I49+I67+I85+I103+I121+I139+I157+I175+I193+I211+I229+I247</f>
        <v>39940</v>
      </c>
      <c r="J13" s="37">
        <f t="shared" si="8"/>
        <v>0</v>
      </c>
      <c r="K13" s="37">
        <f t="shared" si="8"/>
        <v>0</v>
      </c>
      <c r="L13" s="37">
        <f t="shared" si="8"/>
        <v>0</v>
      </c>
      <c r="M13" s="37">
        <f>SUM(N13:Q13)</f>
        <v>14685.455136</v>
      </c>
      <c r="N13" s="37">
        <f t="shared" ref="N13:Q27" si="9">+N31+N49+N67+N85+N103+N121+N139+N157+N175+N193+N211+N229+N247</f>
        <v>14685.455136</v>
      </c>
      <c r="O13" s="37">
        <f t="shared" si="9"/>
        <v>0</v>
      </c>
      <c r="P13" s="37">
        <f t="shared" si="9"/>
        <v>0</v>
      </c>
      <c r="Q13" s="37">
        <f t="shared" si="9"/>
        <v>0</v>
      </c>
      <c r="R13" s="37">
        <f t="shared" ref="R13:R27" si="10">SUM(S13:V13)</f>
        <v>25589.628317999999</v>
      </c>
      <c r="S13" s="37">
        <f t="shared" ref="S13:U27" si="11">(E13+I13)-N13</f>
        <v>25589.628317999999</v>
      </c>
      <c r="T13" s="37">
        <f t="shared" si="11"/>
        <v>0</v>
      </c>
      <c r="U13" s="37">
        <f t="shared" si="11"/>
        <v>0</v>
      </c>
      <c r="V13" s="37">
        <f t="shared" ref="V13:V27" si="12">L13-Q13</f>
        <v>0</v>
      </c>
      <c r="W13" s="38">
        <f t="shared" si="1"/>
        <v>0.36462879469319848</v>
      </c>
      <c r="X13" s="38">
        <f t="shared" si="2"/>
        <v>0.36462879469319848</v>
      </c>
      <c r="Y13" s="38"/>
      <c r="Z13" s="38"/>
      <c r="AA13" s="38"/>
    </row>
    <row r="14" spans="1:27" ht="15.75" hidden="1" customHeight="1">
      <c r="A14" s="35" t="s">
        <v>48</v>
      </c>
      <c r="B14" s="36" t="s">
        <v>50</v>
      </c>
      <c r="C14" s="37">
        <f t="shared" si="5"/>
        <v>38507</v>
      </c>
      <c r="D14" s="37">
        <f t="shared" si="6"/>
        <v>0</v>
      </c>
      <c r="E14" s="37">
        <f t="shared" si="7"/>
        <v>0</v>
      </c>
      <c r="F14" s="37">
        <f t="shared" si="7"/>
        <v>0</v>
      </c>
      <c r="G14" s="37">
        <f t="shared" si="7"/>
        <v>0</v>
      </c>
      <c r="H14" s="37">
        <f t="shared" ref="H14:H27" si="13">SUM(I14:L14)</f>
        <v>38507</v>
      </c>
      <c r="I14" s="37">
        <f t="shared" si="8"/>
        <v>37598</v>
      </c>
      <c r="J14" s="37">
        <f t="shared" si="8"/>
        <v>380</v>
      </c>
      <c r="K14" s="37">
        <f t="shared" si="8"/>
        <v>529</v>
      </c>
      <c r="L14" s="37">
        <f t="shared" si="8"/>
        <v>0</v>
      </c>
      <c r="M14" s="37">
        <f t="shared" ref="M14:M27" si="14">SUM(N14:Q14)</f>
        <v>2847.8289999999997</v>
      </c>
      <c r="N14" s="37">
        <f t="shared" si="9"/>
        <v>2795.8289999999997</v>
      </c>
      <c r="O14" s="37">
        <f t="shared" si="9"/>
        <v>0</v>
      </c>
      <c r="P14" s="37">
        <f t="shared" si="9"/>
        <v>52</v>
      </c>
      <c r="Q14" s="37">
        <f t="shared" si="9"/>
        <v>0</v>
      </c>
      <c r="R14" s="37">
        <f t="shared" si="10"/>
        <v>35659.171000000002</v>
      </c>
      <c r="S14" s="37">
        <f t="shared" si="11"/>
        <v>34802.171000000002</v>
      </c>
      <c r="T14" s="37">
        <f t="shared" si="11"/>
        <v>380</v>
      </c>
      <c r="U14" s="37">
        <f t="shared" si="11"/>
        <v>477</v>
      </c>
      <c r="V14" s="37">
        <f t="shared" si="12"/>
        <v>0</v>
      </c>
      <c r="W14" s="38">
        <f t="shared" si="1"/>
        <v>7.3956137845067119E-2</v>
      </c>
      <c r="X14" s="38">
        <f t="shared" si="2"/>
        <v>7.4361109633491129E-2</v>
      </c>
      <c r="Y14" s="38">
        <f>O14/(F14+J14)</f>
        <v>0</v>
      </c>
      <c r="Z14" s="38">
        <f t="shared" si="3"/>
        <v>9.8298676748582225E-2</v>
      </c>
      <c r="AA14" s="38"/>
    </row>
    <row r="15" spans="1:27" ht="15.75" hidden="1" customHeight="1">
      <c r="A15" s="35" t="s">
        <v>48</v>
      </c>
      <c r="B15" s="36" t="s">
        <v>51</v>
      </c>
      <c r="C15" s="37">
        <f t="shared" si="5"/>
        <v>3530</v>
      </c>
      <c r="D15" s="37">
        <f t="shared" si="6"/>
        <v>0</v>
      </c>
      <c r="E15" s="37">
        <f t="shared" si="7"/>
        <v>0</v>
      </c>
      <c r="F15" s="37">
        <f t="shared" si="7"/>
        <v>0</v>
      </c>
      <c r="G15" s="37">
        <f t="shared" si="7"/>
        <v>0</v>
      </c>
      <c r="H15" s="37">
        <f t="shared" si="13"/>
        <v>3530</v>
      </c>
      <c r="I15" s="37">
        <f t="shared" si="8"/>
        <v>3525</v>
      </c>
      <c r="J15" s="37">
        <f t="shared" si="8"/>
        <v>0</v>
      </c>
      <c r="K15" s="37">
        <f t="shared" si="8"/>
        <v>5</v>
      </c>
      <c r="L15" s="37">
        <f t="shared" si="8"/>
        <v>0</v>
      </c>
      <c r="M15" s="37">
        <f t="shared" si="14"/>
        <v>133.1</v>
      </c>
      <c r="N15" s="37">
        <f t="shared" si="9"/>
        <v>133.1</v>
      </c>
      <c r="O15" s="37">
        <f t="shared" si="9"/>
        <v>0</v>
      </c>
      <c r="P15" s="37">
        <f t="shared" si="9"/>
        <v>0</v>
      </c>
      <c r="Q15" s="37">
        <f t="shared" si="9"/>
        <v>0</v>
      </c>
      <c r="R15" s="37">
        <f t="shared" si="10"/>
        <v>3396.9</v>
      </c>
      <c r="S15" s="37">
        <f t="shared" si="11"/>
        <v>3391.9</v>
      </c>
      <c r="T15" s="37">
        <f t="shared" si="11"/>
        <v>0</v>
      </c>
      <c r="U15" s="37">
        <f t="shared" si="11"/>
        <v>5</v>
      </c>
      <c r="V15" s="37">
        <f t="shared" si="12"/>
        <v>0</v>
      </c>
      <c r="W15" s="38">
        <f t="shared" si="1"/>
        <v>3.770538243626062E-2</v>
      </c>
      <c r="X15" s="38">
        <f t="shared" si="2"/>
        <v>3.7758865248226949E-2</v>
      </c>
      <c r="Y15" s="38"/>
      <c r="Z15" s="38">
        <f t="shared" si="3"/>
        <v>0</v>
      </c>
      <c r="AA15" s="38"/>
    </row>
    <row r="16" spans="1:27" ht="24" hidden="1" customHeight="1">
      <c r="A16" s="35" t="s">
        <v>48</v>
      </c>
      <c r="B16" s="36" t="s">
        <v>52</v>
      </c>
      <c r="C16" s="37">
        <f t="shared" si="5"/>
        <v>3530</v>
      </c>
      <c r="D16" s="37">
        <f t="shared" si="6"/>
        <v>0</v>
      </c>
      <c r="E16" s="37">
        <f t="shared" si="7"/>
        <v>0</v>
      </c>
      <c r="F16" s="37">
        <f t="shared" si="7"/>
        <v>0</v>
      </c>
      <c r="G16" s="37">
        <f t="shared" si="7"/>
        <v>0</v>
      </c>
      <c r="H16" s="37">
        <f>SUM(I16:L16)</f>
        <v>3530</v>
      </c>
      <c r="I16" s="37">
        <f t="shared" si="8"/>
        <v>3525</v>
      </c>
      <c r="J16" s="37">
        <f t="shared" si="8"/>
        <v>0</v>
      </c>
      <c r="K16" s="37">
        <f t="shared" si="8"/>
        <v>5</v>
      </c>
      <c r="L16" s="37">
        <f t="shared" si="8"/>
        <v>0</v>
      </c>
      <c r="M16" s="37">
        <f>SUM(N16:Q16)</f>
        <v>157.19999999999999</v>
      </c>
      <c r="N16" s="37">
        <f t="shared" si="9"/>
        <v>157.19999999999999</v>
      </c>
      <c r="O16" s="37">
        <f t="shared" si="9"/>
        <v>0</v>
      </c>
      <c r="P16" s="37">
        <f t="shared" si="9"/>
        <v>0</v>
      </c>
      <c r="Q16" s="37">
        <f t="shared" si="9"/>
        <v>0</v>
      </c>
      <c r="R16" s="37">
        <f t="shared" si="10"/>
        <v>3372.8</v>
      </c>
      <c r="S16" s="37">
        <f t="shared" si="11"/>
        <v>3367.8</v>
      </c>
      <c r="T16" s="37">
        <f t="shared" si="11"/>
        <v>0</v>
      </c>
      <c r="U16" s="37">
        <f t="shared" si="11"/>
        <v>5</v>
      </c>
      <c r="V16" s="37">
        <f t="shared" si="12"/>
        <v>0</v>
      </c>
      <c r="W16" s="38">
        <f t="shared" si="1"/>
        <v>4.4532577903682716E-2</v>
      </c>
      <c r="X16" s="38">
        <f t="shared" si="2"/>
        <v>4.4595744680851063E-2</v>
      </c>
      <c r="Y16" s="38"/>
      <c r="Z16" s="38">
        <f t="shared" si="3"/>
        <v>0</v>
      </c>
      <c r="AA16" s="38"/>
    </row>
    <row r="17" spans="1:27" ht="25.5" hidden="1" customHeight="1">
      <c r="A17" s="35" t="s">
        <v>48</v>
      </c>
      <c r="B17" s="36" t="s">
        <v>53</v>
      </c>
      <c r="C17" s="37">
        <f t="shared" si="5"/>
        <v>2650</v>
      </c>
      <c r="D17" s="37">
        <f t="shared" si="6"/>
        <v>0</v>
      </c>
      <c r="E17" s="37">
        <f t="shared" si="7"/>
        <v>0</v>
      </c>
      <c r="F17" s="37">
        <f t="shared" si="7"/>
        <v>0</v>
      </c>
      <c r="G17" s="37">
        <f t="shared" si="7"/>
        <v>0</v>
      </c>
      <c r="H17" s="37">
        <f t="shared" si="13"/>
        <v>2650</v>
      </c>
      <c r="I17" s="37">
        <f t="shared" si="8"/>
        <v>2400</v>
      </c>
      <c r="J17" s="37">
        <f t="shared" si="8"/>
        <v>0</v>
      </c>
      <c r="K17" s="37">
        <f t="shared" si="8"/>
        <v>250</v>
      </c>
      <c r="L17" s="37">
        <f t="shared" si="8"/>
        <v>0</v>
      </c>
      <c r="M17" s="37">
        <f t="shared" si="14"/>
        <v>250</v>
      </c>
      <c r="N17" s="37">
        <f t="shared" si="9"/>
        <v>0</v>
      </c>
      <c r="O17" s="37">
        <f t="shared" si="9"/>
        <v>0</v>
      </c>
      <c r="P17" s="37">
        <f t="shared" si="9"/>
        <v>250</v>
      </c>
      <c r="Q17" s="37">
        <f t="shared" si="9"/>
        <v>0</v>
      </c>
      <c r="R17" s="37">
        <f t="shared" si="10"/>
        <v>2400</v>
      </c>
      <c r="S17" s="37">
        <f t="shared" si="11"/>
        <v>2400</v>
      </c>
      <c r="T17" s="37">
        <f t="shared" si="11"/>
        <v>0</v>
      </c>
      <c r="U17" s="37">
        <f t="shared" si="11"/>
        <v>0</v>
      </c>
      <c r="V17" s="37">
        <f t="shared" si="12"/>
        <v>0</v>
      </c>
      <c r="W17" s="38">
        <f t="shared" si="1"/>
        <v>9.4339622641509441E-2</v>
      </c>
      <c r="X17" s="38">
        <f t="shared" si="2"/>
        <v>0</v>
      </c>
      <c r="Y17" s="38"/>
      <c r="Z17" s="38">
        <f t="shared" si="3"/>
        <v>1</v>
      </c>
      <c r="AA17" s="38"/>
    </row>
    <row r="18" spans="1:27" ht="26.25" hidden="1" customHeight="1">
      <c r="A18" s="35" t="s">
        <v>48</v>
      </c>
      <c r="B18" s="36" t="s">
        <v>54</v>
      </c>
      <c r="C18" s="37">
        <f t="shared" si="5"/>
        <v>0</v>
      </c>
      <c r="D18" s="37">
        <f t="shared" si="6"/>
        <v>0</v>
      </c>
      <c r="E18" s="37">
        <f t="shared" si="7"/>
        <v>0</v>
      </c>
      <c r="F18" s="37">
        <f t="shared" si="7"/>
        <v>0</v>
      </c>
      <c r="G18" s="37">
        <f t="shared" si="7"/>
        <v>0</v>
      </c>
      <c r="H18" s="37">
        <f t="shared" si="13"/>
        <v>0</v>
      </c>
      <c r="I18" s="37">
        <f t="shared" si="8"/>
        <v>0</v>
      </c>
      <c r="J18" s="37">
        <f t="shared" si="8"/>
        <v>0</v>
      </c>
      <c r="K18" s="37">
        <f t="shared" si="8"/>
        <v>0</v>
      </c>
      <c r="L18" s="37">
        <f t="shared" si="8"/>
        <v>0</v>
      </c>
      <c r="M18" s="37">
        <f t="shared" si="14"/>
        <v>0</v>
      </c>
      <c r="N18" s="37">
        <f t="shared" si="9"/>
        <v>0</v>
      </c>
      <c r="O18" s="37">
        <f t="shared" si="9"/>
        <v>0</v>
      </c>
      <c r="P18" s="37">
        <f t="shared" si="9"/>
        <v>0</v>
      </c>
      <c r="Q18" s="37">
        <f t="shared" si="9"/>
        <v>0</v>
      </c>
      <c r="R18" s="37">
        <f t="shared" si="10"/>
        <v>0</v>
      </c>
      <c r="S18" s="37">
        <f t="shared" si="11"/>
        <v>0</v>
      </c>
      <c r="T18" s="37">
        <f t="shared" si="11"/>
        <v>0</v>
      </c>
      <c r="U18" s="37">
        <f t="shared" si="11"/>
        <v>0</v>
      </c>
      <c r="V18" s="37">
        <f t="shared" si="12"/>
        <v>0</v>
      </c>
      <c r="W18" s="38"/>
      <c r="X18" s="38"/>
      <c r="Y18" s="38"/>
      <c r="Z18" s="38"/>
      <c r="AA18" s="38"/>
    </row>
    <row r="19" spans="1:27" ht="20.25" hidden="1" customHeight="1">
      <c r="A19" s="35" t="s">
        <v>48</v>
      </c>
      <c r="B19" s="36" t="s">
        <v>55</v>
      </c>
      <c r="C19" s="37">
        <f t="shared" si="5"/>
        <v>5665.2</v>
      </c>
      <c r="D19" s="37">
        <f t="shared" si="6"/>
        <v>0</v>
      </c>
      <c r="E19" s="37">
        <f t="shared" si="7"/>
        <v>0</v>
      </c>
      <c r="F19" s="37">
        <f t="shared" si="7"/>
        <v>0</v>
      </c>
      <c r="G19" s="37">
        <f t="shared" si="7"/>
        <v>0</v>
      </c>
      <c r="H19" s="37">
        <f t="shared" si="13"/>
        <v>5665.2</v>
      </c>
      <c r="I19" s="37">
        <f t="shared" si="8"/>
        <v>5310</v>
      </c>
      <c r="J19" s="37">
        <f t="shared" si="8"/>
        <v>0</v>
      </c>
      <c r="K19" s="37">
        <f t="shared" si="8"/>
        <v>355.2</v>
      </c>
      <c r="L19" s="37">
        <f t="shared" si="8"/>
        <v>0</v>
      </c>
      <c r="M19" s="37">
        <f t="shared" si="14"/>
        <v>987.34799999999996</v>
      </c>
      <c r="N19" s="37">
        <f t="shared" si="9"/>
        <v>973.14799999999991</v>
      </c>
      <c r="O19" s="37">
        <f t="shared" si="9"/>
        <v>0</v>
      </c>
      <c r="P19" s="37">
        <f t="shared" si="9"/>
        <v>14.2</v>
      </c>
      <c r="Q19" s="37">
        <f t="shared" si="9"/>
        <v>0</v>
      </c>
      <c r="R19" s="37">
        <f t="shared" si="10"/>
        <v>4677.8519999999999</v>
      </c>
      <c r="S19" s="37">
        <f t="shared" si="11"/>
        <v>4336.8519999999999</v>
      </c>
      <c r="T19" s="37">
        <f t="shared" si="11"/>
        <v>0</v>
      </c>
      <c r="U19" s="37">
        <f t="shared" si="11"/>
        <v>341</v>
      </c>
      <c r="V19" s="37">
        <f t="shared" si="12"/>
        <v>0</v>
      </c>
      <c r="W19" s="38">
        <f t="shared" si="1"/>
        <v>0.17428299089176022</v>
      </c>
      <c r="X19" s="38">
        <f t="shared" si="2"/>
        <v>0.18326704331450092</v>
      </c>
      <c r="Y19" s="38"/>
      <c r="Z19" s="38">
        <f t="shared" si="3"/>
        <v>3.9977477477477479E-2</v>
      </c>
      <c r="AA19" s="38"/>
    </row>
    <row r="20" spans="1:27" ht="15.75" hidden="1" customHeight="1">
      <c r="A20" s="35" t="s">
        <v>48</v>
      </c>
      <c r="B20" s="36" t="s">
        <v>56</v>
      </c>
      <c r="C20" s="37">
        <f t="shared" si="5"/>
        <v>17984</v>
      </c>
      <c r="D20" s="37">
        <f t="shared" si="6"/>
        <v>0</v>
      </c>
      <c r="E20" s="37">
        <f t="shared" si="7"/>
        <v>0</v>
      </c>
      <c r="F20" s="37">
        <f t="shared" si="7"/>
        <v>0</v>
      </c>
      <c r="G20" s="37">
        <f t="shared" si="7"/>
        <v>0</v>
      </c>
      <c r="H20" s="37">
        <f t="shared" si="13"/>
        <v>17984</v>
      </c>
      <c r="I20" s="37">
        <f t="shared" si="8"/>
        <v>17468</v>
      </c>
      <c r="J20" s="37">
        <f t="shared" si="8"/>
        <v>0</v>
      </c>
      <c r="K20" s="37">
        <f t="shared" si="8"/>
        <v>516</v>
      </c>
      <c r="L20" s="37">
        <f t="shared" si="8"/>
        <v>0</v>
      </c>
      <c r="M20" s="37">
        <f t="shared" si="14"/>
        <v>3116.0950000000003</v>
      </c>
      <c r="N20" s="37">
        <f t="shared" si="9"/>
        <v>3060.4010000000003</v>
      </c>
      <c r="O20" s="37">
        <f t="shared" si="9"/>
        <v>0</v>
      </c>
      <c r="P20" s="37">
        <f t="shared" si="9"/>
        <v>55.694000000000003</v>
      </c>
      <c r="Q20" s="37">
        <f t="shared" si="9"/>
        <v>0</v>
      </c>
      <c r="R20" s="37">
        <f t="shared" si="10"/>
        <v>14867.905000000001</v>
      </c>
      <c r="S20" s="37">
        <f t="shared" si="11"/>
        <v>14407.599</v>
      </c>
      <c r="T20" s="37">
        <f t="shared" si="11"/>
        <v>0</v>
      </c>
      <c r="U20" s="37">
        <f t="shared" si="11"/>
        <v>460.30599999999998</v>
      </c>
      <c r="V20" s="37">
        <f t="shared" si="12"/>
        <v>0</v>
      </c>
      <c r="W20" s="38">
        <f t="shared" si="1"/>
        <v>0.17327040702846977</v>
      </c>
      <c r="X20" s="38">
        <f t="shared" si="2"/>
        <v>0.17520042363178384</v>
      </c>
      <c r="Y20" s="38"/>
      <c r="Z20" s="38">
        <f t="shared" si="3"/>
        <v>0.10793410852713178</v>
      </c>
      <c r="AA20" s="38"/>
    </row>
    <row r="21" spans="1:27" ht="15.75" hidden="1" customHeight="1">
      <c r="A21" s="35" t="s">
        <v>48</v>
      </c>
      <c r="B21" s="36" t="s">
        <v>57</v>
      </c>
      <c r="C21" s="37">
        <f t="shared" si="5"/>
        <v>9005.61</v>
      </c>
      <c r="D21" s="37">
        <f t="shared" si="6"/>
        <v>0</v>
      </c>
      <c r="E21" s="37">
        <f t="shared" si="7"/>
        <v>0</v>
      </c>
      <c r="F21" s="37">
        <f t="shared" si="7"/>
        <v>0</v>
      </c>
      <c r="G21" s="37">
        <f t="shared" si="7"/>
        <v>0</v>
      </c>
      <c r="H21" s="37">
        <f t="shared" si="13"/>
        <v>9005.61</v>
      </c>
      <c r="I21" s="37">
        <f t="shared" si="8"/>
        <v>8008</v>
      </c>
      <c r="J21" s="37">
        <f t="shared" si="8"/>
        <v>220</v>
      </c>
      <c r="K21" s="37">
        <f t="shared" si="8"/>
        <v>777.61</v>
      </c>
      <c r="L21" s="37">
        <f t="shared" si="8"/>
        <v>0</v>
      </c>
      <c r="M21" s="37">
        <f t="shared" si="14"/>
        <v>2813.2599999999998</v>
      </c>
      <c r="N21" s="37">
        <f t="shared" si="9"/>
        <v>2619.6999999999998</v>
      </c>
      <c r="O21" s="37">
        <f t="shared" si="9"/>
        <v>60</v>
      </c>
      <c r="P21" s="37">
        <f t="shared" si="9"/>
        <v>133.56</v>
      </c>
      <c r="Q21" s="37">
        <f t="shared" si="9"/>
        <v>0</v>
      </c>
      <c r="R21" s="37">
        <f t="shared" si="10"/>
        <v>6192.35</v>
      </c>
      <c r="S21" s="37">
        <f t="shared" si="11"/>
        <v>5388.3</v>
      </c>
      <c r="T21" s="37">
        <f t="shared" si="11"/>
        <v>160</v>
      </c>
      <c r="U21" s="37">
        <f t="shared" si="11"/>
        <v>644.04999999999995</v>
      </c>
      <c r="V21" s="37">
        <f t="shared" si="12"/>
        <v>0</v>
      </c>
      <c r="W21" s="38">
        <f t="shared" si="1"/>
        <v>0.31238972151803152</v>
      </c>
      <c r="X21" s="38">
        <f t="shared" si="2"/>
        <v>0.32713536463536463</v>
      </c>
      <c r="Y21" s="38">
        <f>O21/(F21+J21)</f>
        <v>0.27272727272727271</v>
      </c>
      <c r="Z21" s="38">
        <f t="shared" si="3"/>
        <v>0.17175705044945411</v>
      </c>
      <c r="AA21" s="38"/>
    </row>
    <row r="22" spans="1:27" ht="15.75" hidden="1" customHeight="1">
      <c r="A22" s="35" t="s">
        <v>48</v>
      </c>
      <c r="B22" s="36" t="s">
        <v>58</v>
      </c>
      <c r="C22" s="37">
        <f t="shared" si="5"/>
        <v>4825</v>
      </c>
      <c r="D22" s="37">
        <f t="shared" si="6"/>
        <v>0</v>
      </c>
      <c r="E22" s="37">
        <f t="shared" si="7"/>
        <v>0</v>
      </c>
      <c r="F22" s="37">
        <f t="shared" si="7"/>
        <v>0</v>
      </c>
      <c r="G22" s="37">
        <f t="shared" si="7"/>
        <v>0</v>
      </c>
      <c r="H22" s="37">
        <f t="shared" si="13"/>
        <v>4825</v>
      </c>
      <c r="I22" s="37">
        <f t="shared" si="8"/>
        <v>4700</v>
      </c>
      <c r="J22" s="37">
        <f t="shared" si="8"/>
        <v>0</v>
      </c>
      <c r="K22" s="37">
        <f t="shared" si="8"/>
        <v>125</v>
      </c>
      <c r="L22" s="37">
        <f t="shared" si="8"/>
        <v>0</v>
      </c>
      <c r="M22" s="37">
        <f t="shared" si="14"/>
        <v>0</v>
      </c>
      <c r="N22" s="37">
        <f t="shared" si="9"/>
        <v>0</v>
      </c>
      <c r="O22" s="37">
        <f t="shared" si="9"/>
        <v>0</v>
      </c>
      <c r="P22" s="37">
        <f t="shared" si="9"/>
        <v>0</v>
      </c>
      <c r="Q22" s="37">
        <f t="shared" si="9"/>
        <v>0</v>
      </c>
      <c r="R22" s="37">
        <f t="shared" si="10"/>
        <v>4825</v>
      </c>
      <c r="S22" s="37">
        <f t="shared" si="11"/>
        <v>4700</v>
      </c>
      <c r="T22" s="37">
        <f t="shared" si="11"/>
        <v>0</v>
      </c>
      <c r="U22" s="37">
        <f t="shared" si="11"/>
        <v>125</v>
      </c>
      <c r="V22" s="37">
        <f t="shared" si="12"/>
        <v>0</v>
      </c>
      <c r="W22" s="38">
        <f t="shared" si="1"/>
        <v>0</v>
      </c>
      <c r="X22" s="38">
        <f t="shared" si="2"/>
        <v>0</v>
      </c>
      <c r="Y22" s="38"/>
      <c r="Z22" s="38">
        <f t="shared" si="3"/>
        <v>0</v>
      </c>
      <c r="AA22" s="38"/>
    </row>
    <row r="23" spans="1:27" ht="15.75" hidden="1" customHeight="1">
      <c r="A23" s="35" t="s">
        <v>48</v>
      </c>
      <c r="B23" s="36" t="s">
        <v>59</v>
      </c>
      <c r="C23" s="37">
        <f t="shared" si="5"/>
        <v>4825</v>
      </c>
      <c r="D23" s="37">
        <f t="shared" si="6"/>
        <v>0</v>
      </c>
      <c r="E23" s="37">
        <f t="shared" si="7"/>
        <v>0</v>
      </c>
      <c r="F23" s="37">
        <f t="shared" si="7"/>
        <v>0</v>
      </c>
      <c r="G23" s="37">
        <f t="shared" si="7"/>
        <v>0</v>
      </c>
      <c r="H23" s="37">
        <f t="shared" si="13"/>
        <v>4825</v>
      </c>
      <c r="I23" s="37">
        <f t="shared" si="8"/>
        <v>4800</v>
      </c>
      <c r="J23" s="37">
        <f t="shared" si="8"/>
        <v>0</v>
      </c>
      <c r="K23" s="37">
        <f t="shared" si="8"/>
        <v>25</v>
      </c>
      <c r="L23" s="37">
        <f t="shared" si="8"/>
        <v>0</v>
      </c>
      <c r="M23" s="37">
        <f t="shared" si="14"/>
        <v>0</v>
      </c>
      <c r="N23" s="37">
        <f t="shared" si="9"/>
        <v>0</v>
      </c>
      <c r="O23" s="37">
        <f t="shared" si="9"/>
        <v>0</v>
      </c>
      <c r="P23" s="37">
        <f t="shared" si="9"/>
        <v>0</v>
      </c>
      <c r="Q23" s="37">
        <f t="shared" si="9"/>
        <v>0</v>
      </c>
      <c r="R23" s="37">
        <f t="shared" si="10"/>
        <v>4825</v>
      </c>
      <c r="S23" s="37">
        <f t="shared" si="11"/>
        <v>4800</v>
      </c>
      <c r="T23" s="37">
        <f t="shared" si="11"/>
        <v>0</v>
      </c>
      <c r="U23" s="37">
        <f t="shared" si="11"/>
        <v>25</v>
      </c>
      <c r="V23" s="37">
        <f t="shared" si="12"/>
        <v>0</v>
      </c>
      <c r="W23" s="38">
        <f t="shared" si="1"/>
        <v>0</v>
      </c>
      <c r="X23" s="38">
        <f t="shared" si="2"/>
        <v>0</v>
      </c>
      <c r="Y23" s="38"/>
      <c r="Z23" s="38">
        <f t="shared" si="3"/>
        <v>0</v>
      </c>
      <c r="AA23" s="38"/>
    </row>
    <row r="24" spans="1:27" ht="15.75" hidden="1" customHeight="1">
      <c r="A24" s="35" t="s">
        <v>48</v>
      </c>
      <c r="B24" s="36" t="s">
        <v>60</v>
      </c>
      <c r="C24" s="37">
        <f t="shared" si="5"/>
        <v>1700</v>
      </c>
      <c r="D24" s="37">
        <f t="shared" si="6"/>
        <v>0</v>
      </c>
      <c r="E24" s="37">
        <f t="shared" si="7"/>
        <v>0</v>
      </c>
      <c r="F24" s="37">
        <f t="shared" si="7"/>
        <v>0</v>
      </c>
      <c r="G24" s="37">
        <f t="shared" si="7"/>
        <v>0</v>
      </c>
      <c r="H24" s="37">
        <f t="shared" si="13"/>
        <v>1700</v>
      </c>
      <c r="I24" s="37">
        <f t="shared" si="8"/>
        <v>1660</v>
      </c>
      <c r="J24" s="37">
        <f t="shared" si="8"/>
        <v>0</v>
      </c>
      <c r="K24" s="37">
        <f t="shared" si="8"/>
        <v>40</v>
      </c>
      <c r="L24" s="37">
        <f t="shared" si="8"/>
        <v>0</v>
      </c>
      <c r="M24" s="37">
        <f t="shared" si="14"/>
        <v>8.5</v>
      </c>
      <c r="N24" s="37">
        <f t="shared" si="9"/>
        <v>8.5</v>
      </c>
      <c r="O24" s="37">
        <f t="shared" si="9"/>
        <v>0</v>
      </c>
      <c r="P24" s="37">
        <f t="shared" si="9"/>
        <v>0</v>
      </c>
      <c r="Q24" s="37">
        <f t="shared" si="9"/>
        <v>0</v>
      </c>
      <c r="R24" s="37">
        <f t="shared" si="10"/>
        <v>1691.5</v>
      </c>
      <c r="S24" s="37">
        <f t="shared" si="11"/>
        <v>1651.5</v>
      </c>
      <c r="T24" s="37">
        <f t="shared" si="11"/>
        <v>0</v>
      </c>
      <c r="U24" s="37">
        <f t="shared" si="11"/>
        <v>40</v>
      </c>
      <c r="V24" s="37">
        <f t="shared" si="12"/>
        <v>0</v>
      </c>
      <c r="W24" s="38">
        <f t="shared" si="1"/>
        <v>5.0000000000000001E-3</v>
      </c>
      <c r="X24" s="38">
        <f t="shared" si="2"/>
        <v>5.1204819277108436E-3</v>
      </c>
      <c r="Y24" s="38"/>
      <c r="Z24" s="38">
        <f t="shared" si="3"/>
        <v>0</v>
      </c>
      <c r="AA24" s="38"/>
    </row>
    <row r="25" spans="1:27" ht="21" hidden="1">
      <c r="A25" s="35" t="s">
        <v>48</v>
      </c>
      <c r="B25" s="36" t="s">
        <v>61</v>
      </c>
      <c r="C25" s="37">
        <f t="shared" si="5"/>
        <v>1361.94</v>
      </c>
      <c r="D25" s="37">
        <f t="shared" si="6"/>
        <v>0</v>
      </c>
      <c r="E25" s="37">
        <f t="shared" si="7"/>
        <v>0</v>
      </c>
      <c r="F25" s="37">
        <f t="shared" si="7"/>
        <v>0</v>
      </c>
      <c r="G25" s="37">
        <f t="shared" si="7"/>
        <v>0</v>
      </c>
      <c r="H25" s="37">
        <f t="shared" si="13"/>
        <v>1361.94</v>
      </c>
      <c r="I25" s="37">
        <f t="shared" si="8"/>
        <v>1350</v>
      </c>
      <c r="J25" s="37">
        <f t="shared" si="8"/>
        <v>0</v>
      </c>
      <c r="K25" s="37">
        <f t="shared" si="8"/>
        <v>11.940000000000001</v>
      </c>
      <c r="L25" s="37">
        <f t="shared" si="8"/>
        <v>0</v>
      </c>
      <c r="M25" s="37">
        <f t="shared" si="14"/>
        <v>412.96000000000004</v>
      </c>
      <c r="N25" s="37">
        <f t="shared" si="9"/>
        <v>407.02000000000004</v>
      </c>
      <c r="O25" s="37">
        <f t="shared" si="9"/>
        <v>0</v>
      </c>
      <c r="P25" s="37">
        <f t="shared" si="9"/>
        <v>5.94</v>
      </c>
      <c r="Q25" s="37">
        <f t="shared" si="9"/>
        <v>0</v>
      </c>
      <c r="R25" s="37">
        <f t="shared" si="10"/>
        <v>948.98</v>
      </c>
      <c r="S25" s="37">
        <f t="shared" si="11"/>
        <v>942.98</v>
      </c>
      <c r="T25" s="37">
        <f t="shared" si="11"/>
        <v>0</v>
      </c>
      <c r="U25" s="37">
        <f t="shared" si="11"/>
        <v>6.0000000000000009</v>
      </c>
      <c r="V25" s="37">
        <f t="shared" si="12"/>
        <v>0</v>
      </c>
      <c r="W25" s="38">
        <f t="shared" si="1"/>
        <v>0.30321453221140432</v>
      </c>
      <c r="X25" s="38">
        <f t="shared" si="2"/>
        <v>0.30149629629629632</v>
      </c>
      <c r="Y25" s="38"/>
      <c r="Z25" s="38">
        <f t="shared" si="3"/>
        <v>0.49748743718592964</v>
      </c>
      <c r="AA25" s="38"/>
    </row>
    <row r="26" spans="1:27" ht="18.75" hidden="1" customHeight="1">
      <c r="A26" s="35" t="s">
        <v>48</v>
      </c>
      <c r="B26" s="36" t="s">
        <v>62</v>
      </c>
      <c r="C26" s="37">
        <f t="shared" si="5"/>
        <v>10967</v>
      </c>
      <c r="D26" s="37">
        <f t="shared" si="6"/>
        <v>10</v>
      </c>
      <c r="E26" s="37">
        <f t="shared" si="7"/>
        <v>10</v>
      </c>
      <c r="F26" s="37">
        <f t="shared" si="7"/>
        <v>0</v>
      </c>
      <c r="G26" s="37">
        <f t="shared" si="7"/>
        <v>0</v>
      </c>
      <c r="H26" s="37">
        <f t="shared" si="13"/>
        <v>10957</v>
      </c>
      <c r="I26" s="37">
        <f t="shared" si="8"/>
        <v>10832</v>
      </c>
      <c r="J26" s="37">
        <f t="shared" si="8"/>
        <v>0</v>
      </c>
      <c r="K26" s="37">
        <f t="shared" si="8"/>
        <v>125</v>
      </c>
      <c r="L26" s="37">
        <f t="shared" si="8"/>
        <v>0</v>
      </c>
      <c r="M26" s="37">
        <f t="shared" si="14"/>
        <v>1312.0070000000001</v>
      </c>
      <c r="N26" s="37">
        <f t="shared" si="9"/>
        <v>1307.0070000000001</v>
      </c>
      <c r="O26" s="37">
        <f t="shared" si="9"/>
        <v>0</v>
      </c>
      <c r="P26" s="37">
        <f t="shared" si="9"/>
        <v>5</v>
      </c>
      <c r="Q26" s="37">
        <f t="shared" si="9"/>
        <v>0</v>
      </c>
      <c r="R26" s="37">
        <f t="shared" si="10"/>
        <v>9654.9930000000004</v>
      </c>
      <c r="S26" s="37">
        <f t="shared" si="11"/>
        <v>9534.9930000000004</v>
      </c>
      <c r="T26" s="37">
        <f t="shared" si="11"/>
        <v>0</v>
      </c>
      <c r="U26" s="37">
        <f t="shared" si="11"/>
        <v>120</v>
      </c>
      <c r="V26" s="37">
        <f t="shared" si="12"/>
        <v>0</v>
      </c>
      <c r="W26" s="38">
        <f t="shared" si="1"/>
        <v>0.11963226041761649</v>
      </c>
      <c r="X26" s="38">
        <f t="shared" si="2"/>
        <v>0.12055035971223022</v>
      </c>
      <c r="Y26" s="38"/>
      <c r="Z26" s="38">
        <f t="shared" si="3"/>
        <v>0.04</v>
      </c>
      <c r="AA26" s="38"/>
    </row>
    <row r="27" spans="1:27" ht="22.5" hidden="1" customHeight="1">
      <c r="A27" s="35" t="s">
        <v>48</v>
      </c>
      <c r="B27" s="36" t="s">
        <v>63</v>
      </c>
      <c r="C27" s="37">
        <f t="shared" si="5"/>
        <v>16047</v>
      </c>
      <c r="D27" s="37">
        <f t="shared" si="6"/>
        <v>0</v>
      </c>
      <c r="E27" s="37">
        <f t="shared" si="7"/>
        <v>0</v>
      </c>
      <c r="F27" s="37">
        <f t="shared" si="7"/>
        <v>0</v>
      </c>
      <c r="G27" s="37">
        <f t="shared" si="7"/>
        <v>0</v>
      </c>
      <c r="H27" s="37">
        <f t="shared" si="13"/>
        <v>16047</v>
      </c>
      <c r="I27" s="37">
        <f t="shared" si="8"/>
        <v>16032</v>
      </c>
      <c r="J27" s="37">
        <f t="shared" si="8"/>
        <v>0</v>
      </c>
      <c r="K27" s="37">
        <f t="shared" si="8"/>
        <v>15</v>
      </c>
      <c r="L27" s="37">
        <f t="shared" si="8"/>
        <v>0</v>
      </c>
      <c r="M27" s="37">
        <f t="shared" si="14"/>
        <v>205.5</v>
      </c>
      <c r="N27" s="37">
        <f t="shared" si="9"/>
        <v>205.5</v>
      </c>
      <c r="O27" s="37">
        <f t="shared" si="9"/>
        <v>0</v>
      </c>
      <c r="P27" s="37">
        <f t="shared" si="9"/>
        <v>0</v>
      </c>
      <c r="Q27" s="37">
        <f t="shared" si="9"/>
        <v>0</v>
      </c>
      <c r="R27" s="37">
        <f t="shared" si="10"/>
        <v>15841.5</v>
      </c>
      <c r="S27" s="37">
        <f t="shared" si="11"/>
        <v>15826.5</v>
      </c>
      <c r="T27" s="37">
        <f t="shared" si="11"/>
        <v>0</v>
      </c>
      <c r="U27" s="37">
        <f t="shared" si="11"/>
        <v>15</v>
      </c>
      <c r="V27" s="37">
        <f t="shared" si="12"/>
        <v>0</v>
      </c>
      <c r="W27" s="38">
        <f t="shared" si="1"/>
        <v>1.2806131987287344E-2</v>
      </c>
      <c r="X27" s="38">
        <f t="shared" si="2"/>
        <v>1.281811377245509E-2</v>
      </c>
      <c r="Y27" s="38"/>
      <c r="Z27" s="38">
        <f t="shared" si="3"/>
        <v>0</v>
      </c>
      <c r="AA27" s="38"/>
    </row>
    <row r="28" spans="1:27" s="12" customFormat="1" ht="17.25" customHeight="1">
      <c r="A28" s="31" t="s">
        <v>25</v>
      </c>
      <c r="B28" s="32" t="s">
        <v>64</v>
      </c>
      <c r="C28" s="33">
        <f>+C29+C30</f>
        <v>34939</v>
      </c>
      <c r="D28" s="33">
        <f t="shared" ref="D28:V28" si="15">+D29+D30</f>
        <v>397</v>
      </c>
      <c r="E28" s="33">
        <f t="shared" si="15"/>
        <v>397</v>
      </c>
      <c r="F28" s="33">
        <f t="shared" si="15"/>
        <v>0</v>
      </c>
      <c r="G28" s="33">
        <f t="shared" si="15"/>
        <v>0</v>
      </c>
      <c r="H28" s="33">
        <f t="shared" si="15"/>
        <v>34542</v>
      </c>
      <c r="I28" s="33">
        <f t="shared" si="15"/>
        <v>20694</v>
      </c>
      <c r="J28" s="33">
        <f t="shared" si="15"/>
        <v>0</v>
      </c>
      <c r="K28" s="33">
        <f t="shared" si="15"/>
        <v>0</v>
      </c>
      <c r="L28" s="33">
        <f t="shared" si="15"/>
        <v>13848</v>
      </c>
      <c r="M28" s="33">
        <f t="shared" si="15"/>
        <v>8851.9969999999994</v>
      </c>
      <c r="N28" s="33">
        <f t="shared" si="15"/>
        <v>2457.9969999999998</v>
      </c>
      <c r="O28" s="33">
        <f t="shared" si="15"/>
        <v>0</v>
      </c>
      <c r="P28" s="33">
        <f t="shared" si="15"/>
        <v>0</v>
      </c>
      <c r="Q28" s="33">
        <f t="shared" si="15"/>
        <v>6394</v>
      </c>
      <c r="R28" s="33">
        <f t="shared" si="15"/>
        <v>26087.003000000001</v>
      </c>
      <c r="S28" s="33">
        <f t="shared" si="15"/>
        <v>18633.003000000001</v>
      </c>
      <c r="T28" s="33">
        <f t="shared" si="15"/>
        <v>0</v>
      </c>
      <c r="U28" s="33">
        <f t="shared" si="15"/>
        <v>0</v>
      </c>
      <c r="V28" s="33">
        <f t="shared" si="15"/>
        <v>7454</v>
      </c>
      <c r="W28" s="34">
        <f>M28/C28</f>
        <v>0.2533557629010561</v>
      </c>
      <c r="X28" s="34">
        <f>N28/(E28+I28)</f>
        <v>0.11654245886871177</v>
      </c>
      <c r="Y28" s="34"/>
      <c r="Z28" s="34"/>
      <c r="AA28" s="34">
        <f>Q28/L28</f>
        <v>0.46172732524552285</v>
      </c>
    </row>
    <row r="29" spans="1:27" ht="18.75" customHeight="1">
      <c r="A29" s="35" t="s">
        <v>45</v>
      </c>
      <c r="B29" s="36" t="s">
        <v>46</v>
      </c>
      <c r="C29" s="37">
        <f>+D29+H29</f>
        <v>22605</v>
      </c>
      <c r="D29" s="37">
        <f>SUM(E29:G29)</f>
        <v>397</v>
      </c>
      <c r="E29" s="37">
        <v>397</v>
      </c>
      <c r="F29" s="37">
        <v>0</v>
      </c>
      <c r="G29" s="37">
        <v>0</v>
      </c>
      <c r="H29" s="37">
        <f>SUM(I29:L29)</f>
        <v>22208</v>
      </c>
      <c r="I29" s="37">
        <v>8360</v>
      </c>
      <c r="J29" s="37">
        <v>0</v>
      </c>
      <c r="K29" s="37">
        <v>0</v>
      </c>
      <c r="L29" s="37">
        <v>13848</v>
      </c>
      <c r="M29" s="37">
        <f>SUM(N29:Q29)</f>
        <v>8364</v>
      </c>
      <c r="N29" s="37">
        <v>1970</v>
      </c>
      <c r="O29" s="37">
        <v>0</v>
      </c>
      <c r="P29" s="37">
        <v>0</v>
      </c>
      <c r="Q29" s="37">
        <v>6394</v>
      </c>
      <c r="R29" s="37">
        <f>SUM(S29:V29)</f>
        <v>14241</v>
      </c>
      <c r="S29" s="37">
        <f>(E29+I29)-N29</f>
        <v>6787</v>
      </c>
      <c r="T29" s="37">
        <f>(F29+J29)-O29</f>
        <v>0</v>
      </c>
      <c r="U29" s="37">
        <f>(G29+K29)-P29</f>
        <v>0</v>
      </c>
      <c r="V29" s="37">
        <f>L29-Q29</f>
        <v>7454</v>
      </c>
      <c r="W29" s="38">
        <f t="shared" ref="W29:W45" si="16">M29/C29</f>
        <v>0.37000663570006637</v>
      </c>
      <c r="X29" s="38">
        <f t="shared" ref="X29:X45" si="17">N29/(E29+I29)</f>
        <v>0.22496288683339044</v>
      </c>
      <c r="Y29" s="38"/>
      <c r="Z29" s="38"/>
      <c r="AA29" s="38">
        <f>Q29/L29</f>
        <v>0.46172732524552285</v>
      </c>
    </row>
    <row r="30" spans="1:27" ht="15.75" customHeight="1">
      <c r="A30" s="35" t="s">
        <v>45</v>
      </c>
      <c r="B30" s="36" t="s">
        <v>47</v>
      </c>
      <c r="C30" s="37">
        <f>SUM(C31:C45)</f>
        <v>12334</v>
      </c>
      <c r="D30" s="37">
        <f t="shared" ref="D30:V30" si="18">SUM(D31:D45)</f>
        <v>0</v>
      </c>
      <c r="E30" s="37">
        <f t="shared" si="18"/>
        <v>0</v>
      </c>
      <c r="F30" s="37">
        <f t="shared" si="18"/>
        <v>0</v>
      </c>
      <c r="G30" s="37">
        <f t="shared" si="18"/>
        <v>0</v>
      </c>
      <c r="H30" s="37">
        <f t="shared" si="18"/>
        <v>12334</v>
      </c>
      <c r="I30" s="37">
        <f t="shared" si="18"/>
        <v>12334</v>
      </c>
      <c r="J30" s="37">
        <f t="shared" si="18"/>
        <v>0</v>
      </c>
      <c r="K30" s="37">
        <f t="shared" si="18"/>
        <v>0</v>
      </c>
      <c r="L30" s="37">
        <f t="shared" si="18"/>
        <v>0</v>
      </c>
      <c r="M30" s="37">
        <f t="shared" si="18"/>
        <v>487.99700000000001</v>
      </c>
      <c r="N30" s="37">
        <f t="shared" si="18"/>
        <v>487.99700000000001</v>
      </c>
      <c r="O30" s="37">
        <f t="shared" si="18"/>
        <v>0</v>
      </c>
      <c r="P30" s="37">
        <f t="shared" si="18"/>
        <v>0</v>
      </c>
      <c r="Q30" s="37">
        <f t="shared" si="18"/>
        <v>0</v>
      </c>
      <c r="R30" s="37">
        <f t="shared" si="18"/>
        <v>11846.003000000001</v>
      </c>
      <c r="S30" s="37">
        <f>SUM(S31:S45)</f>
        <v>11846.003000000001</v>
      </c>
      <c r="T30" s="37">
        <f t="shared" si="18"/>
        <v>0</v>
      </c>
      <c r="U30" s="37">
        <f t="shared" si="18"/>
        <v>0</v>
      </c>
      <c r="V30" s="37">
        <f t="shared" si="18"/>
        <v>0</v>
      </c>
      <c r="W30" s="38">
        <f t="shared" si="16"/>
        <v>3.9565185665639699E-2</v>
      </c>
      <c r="X30" s="38">
        <f t="shared" si="17"/>
        <v>3.9565185665639699E-2</v>
      </c>
      <c r="Y30" s="38"/>
      <c r="Z30" s="38"/>
      <c r="AA30" s="38"/>
    </row>
    <row r="31" spans="1:27" ht="15.75" hidden="1" customHeight="1">
      <c r="A31" s="35" t="s">
        <v>48</v>
      </c>
      <c r="B31" s="36" t="s">
        <v>49</v>
      </c>
      <c r="C31" s="37">
        <f t="shared" ref="C31:C45" si="19">+D31+H31</f>
        <v>3630</v>
      </c>
      <c r="D31" s="37">
        <f t="shared" ref="D31:D45" si="20">SUM(E31:G31)</f>
        <v>0</v>
      </c>
      <c r="E31" s="37">
        <v>0</v>
      </c>
      <c r="F31" s="37">
        <v>0</v>
      </c>
      <c r="G31" s="37">
        <v>0</v>
      </c>
      <c r="H31" s="37">
        <f t="shared" ref="H31:H45" si="21">SUM(I31:L31)</f>
        <v>3630</v>
      </c>
      <c r="I31" s="37">
        <v>3630</v>
      </c>
      <c r="J31" s="37">
        <v>0</v>
      </c>
      <c r="K31" s="37">
        <v>0</v>
      </c>
      <c r="L31" s="37">
        <v>0</v>
      </c>
      <c r="M31" s="37">
        <f t="shared" ref="M31:M45" si="22">SUM(N31:Q31)</f>
        <v>487.99700000000001</v>
      </c>
      <c r="N31" s="37">
        <v>487.99700000000001</v>
      </c>
      <c r="O31" s="37">
        <v>0</v>
      </c>
      <c r="P31" s="37">
        <v>0</v>
      </c>
      <c r="Q31" s="37">
        <v>0</v>
      </c>
      <c r="R31" s="37">
        <f t="shared" ref="R31:R45" si="23">SUM(S31:V31)</f>
        <v>3142.0030000000002</v>
      </c>
      <c r="S31" s="37">
        <f t="shared" ref="S31:U45" si="24">(E31+I31)-N31</f>
        <v>3142.0030000000002</v>
      </c>
      <c r="T31" s="37">
        <f t="shared" si="24"/>
        <v>0</v>
      </c>
      <c r="U31" s="37">
        <f t="shared" si="24"/>
        <v>0</v>
      </c>
      <c r="V31" s="37">
        <f t="shared" ref="V31:V45" si="25">L31-Q31</f>
        <v>0</v>
      </c>
      <c r="W31" s="38">
        <f t="shared" si="16"/>
        <v>0.13443443526170798</v>
      </c>
      <c r="X31" s="38">
        <f t="shared" si="17"/>
        <v>0.13443443526170798</v>
      </c>
      <c r="Y31" s="38"/>
      <c r="Z31" s="38"/>
      <c r="AA31" s="38"/>
    </row>
    <row r="32" spans="1:27" ht="15.75" hidden="1" customHeight="1">
      <c r="A32" s="35" t="s">
        <v>48</v>
      </c>
      <c r="B32" s="36" t="s">
        <v>50</v>
      </c>
      <c r="C32" s="37">
        <f t="shared" si="19"/>
        <v>2790</v>
      </c>
      <c r="D32" s="37">
        <f t="shared" si="20"/>
        <v>0</v>
      </c>
      <c r="E32" s="37">
        <v>0</v>
      </c>
      <c r="F32" s="37">
        <v>0</v>
      </c>
      <c r="G32" s="37">
        <v>0</v>
      </c>
      <c r="H32" s="37">
        <f t="shared" si="21"/>
        <v>2790</v>
      </c>
      <c r="I32" s="37">
        <v>2790</v>
      </c>
      <c r="J32" s="37">
        <v>0</v>
      </c>
      <c r="K32" s="37">
        <v>0</v>
      </c>
      <c r="L32" s="37">
        <v>0</v>
      </c>
      <c r="M32" s="37">
        <f t="shared" si="22"/>
        <v>0</v>
      </c>
      <c r="N32" s="37">
        <v>0</v>
      </c>
      <c r="O32" s="37">
        <v>0</v>
      </c>
      <c r="P32" s="37">
        <v>0</v>
      </c>
      <c r="Q32" s="37">
        <v>0</v>
      </c>
      <c r="R32" s="37">
        <f t="shared" si="23"/>
        <v>2790</v>
      </c>
      <c r="S32" s="37">
        <f t="shared" si="24"/>
        <v>2790</v>
      </c>
      <c r="T32" s="37">
        <f t="shared" si="24"/>
        <v>0</v>
      </c>
      <c r="U32" s="37">
        <f t="shared" si="24"/>
        <v>0</v>
      </c>
      <c r="V32" s="37">
        <f t="shared" si="25"/>
        <v>0</v>
      </c>
      <c r="W32" s="38">
        <f t="shared" si="16"/>
        <v>0</v>
      </c>
      <c r="X32" s="38">
        <f t="shared" si="17"/>
        <v>0</v>
      </c>
      <c r="Y32" s="38"/>
      <c r="Z32" s="38"/>
      <c r="AA32" s="38"/>
    </row>
    <row r="33" spans="1:27" ht="15.75" hidden="1" customHeight="1">
      <c r="A33" s="35" t="s">
        <v>48</v>
      </c>
      <c r="B33" s="36" t="s">
        <v>51</v>
      </c>
      <c r="C33" s="37">
        <f t="shared" si="19"/>
        <v>315</v>
      </c>
      <c r="D33" s="37">
        <f t="shared" si="20"/>
        <v>0</v>
      </c>
      <c r="E33" s="37">
        <v>0</v>
      </c>
      <c r="F33" s="37">
        <v>0</v>
      </c>
      <c r="G33" s="37">
        <v>0</v>
      </c>
      <c r="H33" s="37">
        <f t="shared" si="21"/>
        <v>315</v>
      </c>
      <c r="I33" s="37">
        <v>315</v>
      </c>
      <c r="J33" s="37">
        <v>0</v>
      </c>
      <c r="K33" s="37">
        <v>0</v>
      </c>
      <c r="L33" s="37">
        <v>0</v>
      </c>
      <c r="M33" s="37">
        <f t="shared" si="22"/>
        <v>0</v>
      </c>
      <c r="N33" s="37">
        <v>0</v>
      </c>
      <c r="O33" s="37">
        <v>0</v>
      </c>
      <c r="P33" s="37">
        <v>0</v>
      </c>
      <c r="Q33" s="37">
        <v>0</v>
      </c>
      <c r="R33" s="37">
        <f t="shared" si="23"/>
        <v>315</v>
      </c>
      <c r="S33" s="37">
        <f t="shared" si="24"/>
        <v>315</v>
      </c>
      <c r="T33" s="37">
        <f t="shared" si="24"/>
        <v>0</v>
      </c>
      <c r="U33" s="37">
        <f t="shared" si="24"/>
        <v>0</v>
      </c>
      <c r="V33" s="37">
        <f t="shared" si="25"/>
        <v>0</v>
      </c>
      <c r="W33" s="38">
        <f t="shared" si="16"/>
        <v>0</v>
      </c>
      <c r="X33" s="38">
        <f t="shared" si="17"/>
        <v>0</v>
      </c>
      <c r="Y33" s="38"/>
      <c r="Z33" s="38"/>
      <c r="AA33" s="38"/>
    </row>
    <row r="34" spans="1:27" ht="24" hidden="1" customHeight="1">
      <c r="A34" s="35" t="s">
        <v>48</v>
      </c>
      <c r="B34" s="36" t="s">
        <v>52</v>
      </c>
      <c r="C34" s="37">
        <f t="shared" si="19"/>
        <v>315</v>
      </c>
      <c r="D34" s="37">
        <f t="shared" si="20"/>
        <v>0</v>
      </c>
      <c r="E34" s="37">
        <v>0</v>
      </c>
      <c r="F34" s="37">
        <v>0</v>
      </c>
      <c r="G34" s="37">
        <v>0</v>
      </c>
      <c r="H34" s="37">
        <f t="shared" si="21"/>
        <v>315</v>
      </c>
      <c r="I34" s="37">
        <v>315</v>
      </c>
      <c r="J34" s="37">
        <v>0</v>
      </c>
      <c r="K34" s="37">
        <v>0</v>
      </c>
      <c r="L34" s="37">
        <v>0</v>
      </c>
      <c r="M34" s="37">
        <f t="shared" si="22"/>
        <v>0</v>
      </c>
      <c r="N34" s="37">
        <v>0</v>
      </c>
      <c r="O34" s="37">
        <v>0</v>
      </c>
      <c r="P34" s="37">
        <v>0</v>
      </c>
      <c r="Q34" s="37">
        <v>0</v>
      </c>
      <c r="R34" s="37">
        <f t="shared" si="23"/>
        <v>315</v>
      </c>
      <c r="S34" s="37">
        <f t="shared" si="24"/>
        <v>315</v>
      </c>
      <c r="T34" s="37">
        <f t="shared" si="24"/>
        <v>0</v>
      </c>
      <c r="U34" s="37">
        <f t="shared" si="24"/>
        <v>0</v>
      </c>
      <c r="V34" s="37">
        <f t="shared" si="25"/>
        <v>0</v>
      </c>
      <c r="W34" s="38">
        <f t="shared" si="16"/>
        <v>0</v>
      </c>
      <c r="X34" s="38">
        <f t="shared" si="17"/>
        <v>0</v>
      </c>
      <c r="Y34" s="38"/>
      <c r="Z34" s="38"/>
      <c r="AA34" s="38"/>
    </row>
    <row r="35" spans="1:27" ht="25.5" hidden="1" customHeight="1">
      <c r="A35" s="35" t="s">
        <v>48</v>
      </c>
      <c r="B35" s="36" t="s">
        <v>53</v>
      </c>
      <c r="C35" s="37">
        <f t="shared" si="19"/>
        <v>200</v>
      </c>
      <c r="D35" s="37">
        <f t="shared" si="20"/>
        <v>0</v>
      </c>
      <c r="E35" s="37">
        <v>0</v>
      </c>
      <c r="F35" s="37">
        <v>0</v>
      </c>
      <c r="G35" s="37">
        <v>0</v>
      </c>
      <c r="H35" s="37">
        <f t="shared" si="21"/>
        <v>200</v>
      </c>
      <c r="I35" s="37">
        <v>200</v>
      </c>
      <c r="J35" s="37">
        <v>0</v>
      </c>
      <c r="K35" s="37">
        <v>0</v>
      </c>
      <c r="L35" s="37">
        <v>0</v>
      </c>
      <c r="M35" s="37">
        <f t="shared" si="22"/>
        <v>0</v>
      </c>
      <c r="N35" s="37">
        <v>0</v>
      </c>
      <c r="O35" s="37">
        <v>0</v>
      </c>
      <c r="P35" s="37">
        <v>0</v>
      </c>
      <c r="Q35" s="37">
        <v>0</v>
      </c>
      <c r="R35" s="37">
        <f t="shared" si="23"/>
        <v>200</v>
      </c>
      <c r="S35" s="37">
        <f t="shared" si="24"/>
        <v>200</v>
      </c>
      <c r="T35" s="37">
        <f t="shared" si="24"/>
        <v>0</v>
      </c>
      <c r="U35" s="37">
        <f t="shared" si="24"/>
        <v>0</v>
      </c>
      <c r="V35" s="37">
        <f t="shared" si="25"/>
        <v>0</v>
      </c>
      <c r="W35" s="38">
        <f t="shared" si="16"/>
        <v>0</v>
      </c>
      <c r="X35" s="38">
        <f t="shared" si="17"/>
        <v>0</v>
      </c>
      <c r="Y35" s="38"/>
      <c r="Z35" s="38"/>
      <c r="AA35" s="38"/>
    </row>
    <row r="36" spans="1:27" ht="26.25" hidden="1" customHeight="1">
      <c r="A36" s="35" t="s">
        <v>48</v>
      </c>
      <c r="B36" s="36" t="s">
        <v>54</v>
      </c>
      <c r="C36" s="37">
        <f t="shared" si="19"/>
        <v>0</v>
      </c>
      <c r="D36" s="37">
        <f t="shared" si="20"/>
        <v>0</v>
      </c>
      <c r="E36" s="37">
        <v>0</v>
      </c>
      <c r="F36" s="37">
        <v>0</v>
      </c>
      <c r="G36" s="37">
        <v>0</v>
      </c>
      <c r="H36" s="37">
        <f t="shared" si="21"/>
        <v>0</v>
      </c>
      <c r="I36" s="37">
        <v>0</v>
      </c>
      <c r="J36" s="37">
        <v>0</v>
      </c>
      <c r="K36" s="37">
        <v>0</v>
      </c>
      <c r="L36" s="37">
        <v>0</v>
      </c>
      <c r="M36" s="37">
        <f t="shared" si="22"/>
        <v>0</v>
      </c>
      <c r="N36" s="37">
        <v>0</v>
      </c>
      <c r="O36" s="37">
        <v>0</v>
      </c>
      <c r="P36" s="37">
        <v>0</v>
      </c>
      <c r="Q36" s="37">
        <v>0</v>
      </c>
      <c r="R36" s="37">
        <f t="shared" si="23"/>
        <v>0</v>
      </c>
      <c r="S36" s="37">
        <f t="shared" si="24"/>
        <v>0</v>
      </c>
      <c r="T36" s="37">
        <f t="shared" si="24"/>
        <v>0</v>
      </c>
      <c r="U36" s="37">
        <f t="shared" si="24"/>
        <v>0</v>
      </c>
      <c r="V36" s="37">
        <f t="shared" si="25"/>
        <v>0</v>
      </c>
      <c r="W36" s="38"/>
      <c r="X36" s="38"/>
      <c r="Y36" s="38"/>
      <c r="Z36" s="38"/>
      <c r="AA36" s="38"/>
    </row>
    <row r="37" spans="1:27" ht="20.25" hidden="1" customHeight="1">
      <c r="A37" s="35" t="s">
        <v>48</v>
      </c>
      <c r="B37" s="36" t="s">
        <v>55</v>
      </c>
      <c r="C37" s="37">
        <f t="shared" si="19"/>
        <v>420</v>
      </c>
      <c r="D37" s="37">
        <f t="shared" si="20"/>
        <v>0</v>
      </c>
      <c r="E37" s="37">
        <v>0</v>
      </c>
      <c r="F37" s="37">
        <v>0</v>
      </c>
      <c r="G37" s="37">
        <v>0</v>
      </c>
      <c r="H37" s="37">
        <f t="shared" si="21"/>
        <v>420</v>
      </c>
      <c r="I37" s="37">
        <v>420</v>
      </c>
      <c r="J37" s="37">
        <v>0</v>
      </c>
      <c r="K37" s="37">
        <v>0</v>
      </c>
      <c r="L37" s="37">
        <v>0</v>
      </c>
      <c r="M37" s="37">
        <f t="shared" si="22"/>
        <v>0</v>
      </c>
      <c r="N37" s="37">
        <v>0</v>
      </c>
      <c r="O37" s="37">
        <v>0</v>
      </c>
      <c r="P37" s="37">
        <v>0</v>
      </c>
      <c r="Q37" s="37">
        <v>0</v>
      </c>
      <c r="R37" s="37">
        <f t="shared" si="23"/>
        <v>420</v>
      </c>
      <c r="S37" s="37">
        <f t="shared" si="24"/>
        <v>420</v>
      </c>
      <c r="T37" s="37">
        <f t="shared" si="24"/>
        <v>0</v>
      </c>
      <c r="U37" s="37">
        <f t="shared" si="24"/>
        <v>0</v>
      </c>
      <c r="V37" s="37">
        <f t="shared" si="25"/>
        <v>0</v>
      </c>
      <c r="W37" s="38">
        <f t="shared" si="16"/>
        <v>0</v>
      </c>
      <c r="X37" s="38">
        <f t="shared" si="17"/>
        <v>0</v>
      </c>
      <c r="Y37" s="38"/>
      <c r="Z37" s="38"/>
      <c r="AA37" s="38"/>
    </row>
    <row r="38" spans="1:27" ht="15.75" hidden="1" customHeight="1">
      <c r="A38" s="35" t="s">
        <v>48</v>
      </c>
      <c r="B38" s="36" t="s">
        <v>56</v>
      </c>
      <c r="C38" s="37">
        <f t="shared" si="19"/>
        <v>1260</v>
      </c>
      <c r="D38" s="37">
        <f t="shared" si="20"/>
        <v>0</v>
      </c>
      <c r="E38" s="37">
        <v>0</v>
      </c>
      <c r="F38" s="37">
        <v>0</v>
      </c>
      <c r="G38" s="37">
        <v>0</v>
      </c>
      <c r="H38" s="37">
        <f t="shared" si="21"/>
        <v>1260</v>
      </c>
      <c r="I38" s="37">
        <v>1260</v>
      </c>
      <c r="J38" s="37">
        <v>0</v>
      </c>
      <c r="K38" s="37">
        <v>0</v>
      </c>
      <c r="L38" s="37">
        <v>0</v>
      </c>
      <c r="M38" s="37">
        <f t="shared" si="22"/>
        <v>0</v>
      </c>
      <c r="N38" s="37">
        <v>0</v>
      </c>
      <c r="O38" s="37">
        <v>0</v>
      </c>
      <c r="P38" s="37">
        <v>0</v>
      </c>
      <c r="Q38" s="37">
        <v>0</v>
      </c>
      <c r="R38" s="37">
        <f t="shared" si="23"/>
        <v>1260</v>
      </c>
      <c r="S38" s="37">
        <f t="shared" si="24"/>
        <v>1260</v>
      </c>
      <c r="T38" s="37">
        <f t="shared" si="24"/>
        <v>0</v>
      </c>
      <c r="U38" s="37">
        <f t="shared" si="24"/>
        <v>0</v>
      </c>
      <c r="V38" s="37">
        <f t="shared" si="25"/>
        <v>0</v>
      </c>
      <c r="W38" s="38">
        <f t="shared" si="16"/>
        <v>0</v>
      </c>
      <c r="X38" s="38">
        <f t="shared" si="17"/>
        <v>0</v>
      </c>
      <c r="Y38" s="38"/>
      <c r="Z38" s="38"/>
      <c r="AA38" s="38"/>
    </row>
    <row r="39" spans="1:27" ht="18.75" hidden="1" customHeight="1">
      <c r="A39" s="35" t="s">
        <v>48</v>
      </c>
      <c r="B39" s="36" t="s">
        <v>57</v>
      </c>
      <c r="C39" s="37">
        <f t="shared" si="19"/>
        <v>786</v>
      </c>
      <c r="D39" s="37">
        <f t="shared" si="20"/>
        <v>0</v>
      </c>
      <c r="E39" s="37">
        <v>0</v>
      </c>
      <c r="F39" s="37">
        <v>0</v>
      </c>
      <c r="G39" s="37">
        <v>0</v>
      </c>
      <c r="H39" s="37">
        <f t="shared" si="21"/>
        <v>786</v>
      </c>
      <c r="I39" s="37">
        <v>786</v>
      </c>
      <c r="J39" s="37">
        <v>0</v>
      </c>
      <c r="K39" s="37">
        <v>0</v>
      </c>
      <c r="L39" s="37">
        <v>0</v>
      </c>
      <c r="M39" s="37">
        <f t="shared" si="22"/>
        <v>0</v>
      </c>
      <c r="N39" s="37">
        <v>0</v>
      </c>
      <c r="O39" s="37">
        <v>0</v>
      </c>
      <c r="P39" s="37">
        <v>0</v>
      </c>
      <c r="Q39" s="37">
        <v>0</v>
      </c>
      <c r="R39" s="37">
        <f t="shared" si="23"/>
        <v>786</v>
      </c>
      <c r="S39" s="37">
        <f t="shared" si="24"/>
        <v>786</v>
      </c>
      <c r="T39" s="37">
        <f t="shared" si="24"/>
        <v>0</v>
      </c>
      <c r="U39" s="37">
        <f t="shared" si="24"/>
        <v>0</v>
      </c>
      <c r="V39" s="37">
        <f t="shared" si="25"/>
        <v>0</v>
      </c>
      <c r="W39" s="38">
        <f t="shared" si="16"/>
        <v>0</v>
      </c>
      <c r="X39" s="38">
        <f t="shared" si="17"/>
        <v>0</v>
      </c>
      <c r="Y39" s="38"/>
      <c r="Z39" s="38"/>
      <c r="AA39" s="38"/>
    </row>
    <row r="40" spans="1:27" ht="18.75" hidden="1" customHeight="1">
      <c r="A40" s="35" t="s">
        <v>48</v>
      </c>
      <c r="B40" s="36" t="s">
        <v>58</v>
      </c>
      <c r="C40" s="37">
        <f t="shared" si="19"/>
        <v>300</v>
      </c>
      <c r="D40" s="37">
        <f t="shared" si="20"/>
        <v>0</v>
      </c>
      <c r="E40" s="37">
        <v>0</v>
      </c>
      <c r="F40" s="37">
        <v>0</v>
      </c>
      <c r="G40" s="37">
        <v>0</v>
      </c>
      <c r="H40" s="37">
        <f t="shared" si="21"/>
        <v>300</v>
      </c>
      <c r="I40" s="37">
        <v>300</v>
      </c>
      <c r="J40" s="37">
        <v>0</v>
      </c>
      <c r="K40" s="37">
        <v>0</v>
      </c>
      <c r="L40" s="37">
        <v>0</v>
      </c>
      <c r="M40" s="37">
        <f t="shared" si="22"/>
        <v>0</v>
      </c>
      <c r="N40" s="37">
        <v>0</v>
      </c>
      <c r="O40" s="37">
        <v>0</v>
      </c>
      <c r="P40" s="37">
        <v>0</v>
      </c>
      <c r="Q40" s="37">
        <v>0</v>
      </c>
      <c r="R40" s="37">
        <f t="shared" si="23"/>
        <v>300</v>
      </c>
      <c r="S40" s="37">
        <f t="shared" si="24"/>
        <v>300</v>
      </c>
      <c r="T40" s="37">
        <f t="shared" si="24"/>
        <v>0</v>
      </c>
      <c r="U40" s="37">
        <f t="shared" si="24"/>
        <v>0</v>
      </c>
      <c r="V40" s="37">
        <f t="shared" si="25"/>
        <v>0</v>
      </c>
      <c r="W40" s="38">
        <f t="shared" si="16"/>
        <v>0</v>
      </c>
      <c r="X40" s="38">
        <f t="shared" si="17"/>
        <v>0</v>
      </c>
      <c r="Y40" s="38"/>
      <c r="Z40" s="38"/>
      <c r="AA40" s="38"/>
    </row>
    <row r="41" spans="1:27" ht="18.75" hidden="1" customHeight="1">
      <c r="A41" s="35" t="s">
        <v>48</v>
      </c>
      <c r="B41" s="36" t="s">
        <v>59</v>
      </c>
      <c r="C41" s="37">
        <f t="shared" si="19"/>
        <v>300</v>
      </c>
      <c r="D41" s="37">
        <f t="shared" si="20"/>
        <v>0</v>
      </c>
      <c r="E41" s="37">
        <v>0</v>
      </c>
      <c r="F41" s="37">
        <v>0</v>
      </c>
      <c r="G41" s="37">
        <v>0</v>
      </c>
      <c r="H41" s="37">
        <f t="shared" si="21"/>
        <v>300</v>
      </c>
      <c r="I41" s="37">
        <v>300</v>
      </c>
      <c r="J41" s="37">
        <v>0</v>
      </c>
      <c r="K41" s="37">
        <v>0</v>
      </c>
      <c r="L41" s="37">
        <v>0</v>
      </c>
      <c r="M41" s="37">
        <f t="shared" si="22"/>
        <v>0</v>
      </c>
      <c r="N41" s="37">
        <v>0</v>
      </c>
      <c r="O41" s="37">
        <v>0</v>
      </c>
      <c r="P41" s="37">
        <v>0</v>
      </c>
      <c r="Q41" s="37">
        <v>0</v>
      </c>
      <c r="R41" s="37">
        <f t="shared" si="23"/>
        <v>300</v>
      </c>
      <c r="S41" s="37">
        <f t="shared" si="24"/>
        <v>300</v>
      </c>
      <c r="T41" s="37">
        <f t="shared" si="24"/>
        <v>0</v>
      </c>
      <c r="U41" s="37">
        <f t="shared" si="24"/>
        <v>0</v>
      </c>
      <c r="V41" s="37">
        <f t="shared" si="25"/>
        <v>0</v>
      </c>
      <c r="W41" s="38">
        <f t="shared" si="16"/>
        <v>0</v>
      </c>
      <c r="X41" s="38">
        <f t="shared" si="17"/>
        <v>0</v>
      </c>
      <c r="Y41" s="38"/>
      <c r="Z41" s="38"/>
      <c r="AA41" s="38"/>
    </row>
    <row r="42" spans="1:27" ht="18.75" hidden="1" customHeight="1">
      <c r="A42" s="35" t="s">
        <v>48</v>
      </c>
      <c r="B42" s="36" t="s">
        <v>60</v>
      </c>
      <c r="C42" s="37">
        <f t="shared" si="19"/>
        <v>0</v>
      </c>
      <c r="D42" s="37">
        <f t="shared" si="20"/>
        <v>0</v>
      </c>
      <c r="E42" s="37">
        <v>0</v>
      </c>
      <c r="F42" s="37">
        <v>0</v>
      </c>
      <c r="G42" s="37">
        <v>0</v>
      </c>
      <c r="H42" s="37">
        <f t="shared" si="21"/>
        <v>0</v>
      </c>
      <c r="I42" s="37">
        <v>0</v>
      </c>
      <c r="J42" s="37">
        <v>0</v>
      </c>
      <c r="K42" s="37">
        <v>0</v>
      </c>
      <c r="L42" s="37">
        <v>0</v>
      </c>
      <c r="M42" s="37">
        <f t="shared" si="22"/>
        <v>0</v>
      </c>
      <c r="N42" s="37">
        <v>0</v>
      </c>
      <c r="O42" s="37">
        <v>0</v>
      </c>
      <c r="P42" s="37">
        <v>0</v>
      </c>
      <c r="Q42" s="37">
        <v>0</v>
      </c>
      <c r="R42" s="37">
        <f t="shared" si="23"/>
        <v>0</v>
      </c>
      <c r="S42" s="37">
        <f t="shared" si="24"/>
        <v>0</v>
      </c>
      <c r="T42" s="37">
        <f t="shared" si="24"/>
        <v>0</v>
      </c>
      <c r="U42" s="37">
        <f t="shared" si="24"/>
        <v>0</v>
      </c>
      <c r="V42" s="37">
        <f t="shared" si="25"/>
        <v>0</v>
      </c>
      <c r="W42" s="38"/>
      <c r="X42" s="38"/>
      <c r="Y42" s="38"/>
      <c r="Z42" s="38"/>
      <c r="AA42" s="38"/>
    </row>
    <row r="43" spans="1:27" ht="21" hidden="1">
      <c r="A43" s="35" t="s">
        <v>48</v>
      </c>
      <c r="B43" s="36" t="s">
        <v>61</v>
      </c>
      <c r="C43" s="37">
        <f t="shared" si="19"/>
        <v>0</v>
      </c>
      <c r="D43" s="37">
        <f t="shared" si="20"/>
        <v>0</v>
      </c>
      <c r="E43" s="37">
        <v>0</v>
      </c>
      <c r="F43" s="37">
        <v>0</v>
      </c>
      <c r="G43" s="37">
        <v>0</v>
      </c>
      <c r="H43" s="37">
        <f t="shared" si="21"/>
        <v>0</v>
      </c>
      <c r="I43" s="37">
        <v>0</v>
      </c>
      <c r="J43" s="37">
        <v>0</v>
      </c>
      <c r="K43" s="37">
        <v>0</v>
      </c>
      <c r="L43" s="37">
        <v>0</v>
      </c>
      <c r="M43" s="37">
        <f t="shared" si="22"/>
        <v>0</v>
      </c>
      <c r="N43" s="37">
        <v>0</v>
      </c>
      <c r="O43" s="37">
        <v>0</v>
      </c>
      <c r="P43" s="37">
        <v>0</v>
      </c>
      <c r="Q43" s="37">
        <v>0</v>
      </c>
      <c r="R43" s="37">
        <f t="shared" si="23"/>
        <v>0</v>
      </c>
      <c r="S43" s="37">
        <f t="shared" si="24"/>
        <v>0</v>
      </c>
      <c r="T43" s="37">
        <f t="shared" si="24"/>
        <v>0</v>
      </c>
      <c r="U43" s="37">
        <f t="shared" si="24"/>
        <v>0</v>
      </c>
      <c r="V43" s="37">
        <f t="shared" si="25"/>
        <v>0</v>
      </c>
      <c r="W43" s="38"/>
      <c r="X43" s="38"/>
      <c r="Y43" s="38"/>
      <c r="Z43" s="38"/>
      <c r="AA43" s="38"/>
    </row>
    <row r="44" spans="1:27" ht="29.25" hidden="1" customHeight="1">
      <c r="A44" s="35" t="s">
        <v>48</v>
      </c>
      <c r="B44" s="36" t="s">
        <v>65</v>
      </c>
      <c r="C44" s="37">
        <f t="shared" si="19"/>
        <v>1206</v>
      </c>
      <c r="D44" s="37">
        <f t="shared" si="20"/>
        <v>0</v>
      </c>
      <c r="E44" s="37">
        <v>0</v>
      </c>
      <c r="F44" s="37">
        <v>0</v>
      </c>
      <c r="G44" s="37">
        <v>0</v>
      </c>
      <c r="H44" s="37">
        <f t="shared" si="21"/>
        <v>1206</v>
      </c>
      <c r="I44" s="37">
        <v>1206</v>
      </c>
      <c r="J44" s="37">
        <v>0</v>
      </c>
      <c r="K44" s="37">
        <v>0</v>
      </c>
      <c r="L44" s="37">
        <v>0</v>
      </c>
      <c r="M44" s="37">
        <f t="shared" si="22"/>
        <v>0</v>
      </c>
      <c r="N44" s="37">
        <v>0</v>
      </c>
      <c r="O44" s="37">
        <v>0</v>
      </c>
      <c r="P44" s="37">
        <v>0</v>
      </c>
      <c r="Q44" s="37">
        <v>0</v>
      </c>
      <c r="R44" s="37">
        <f t="shared" si="23"/>
        <v>1206</v>
      </c>
      <c r="S44" s="37">
        <f t="shared" si="24"/>
        <v>1206</v>
      </c>
      <c r="T44" s="37">
        <f t="shared" si="24"/>
        <v>0</v>
      </c>
      <c r="U44" s="37">
        <f t="shared" si="24"/>
        <v>0</v>
      </c>
      <c r="V44" s="37">
        <f t="shared" si="25"/>
        <v>0</v>
      </c>
      <c r="W44" s="38">
        <f t="shared" si="16"/>
        <v>0</v>
      </c>
      <c r="X44" s="38">
        <f t="shared" si="17"/>
        <v>0</v>
      </c>
      <c r="Y44" s="38"/>
      <c r="Z44" s="38"/>
      <c r="AA44" s="38"/>
    </row>
    <row r="45" spans="1:27" ht="22.5" hidden="1" customHeight="1">
      <c r="A45" s="35" t="s">
        <v>48</v>
      </c>
      <c r="B45" s="36" t="s">
        <v>63</v>
      </c>
      <c r="C45" s="37">
        <f t="shared" si="19"/>
        <v>812</v>
      </c>
      <c r="D45" s="37">
        <f t="shared" si="20"/>
        <v>0</v>
      </c>
      <c r="E45" s="37">
        <v>0</v>
      </c>
      <c r="F45" s="37">
        <v>0</v>
      </c>
      <c r="G45" s="37">
        <v>0</v>
      </c>
      <c r="H45" s="37">
        <f t="shared" si="21"/>
        <v>812</v>
      </c>
      <c r="I45" s="37">
        <v>812</v>
      </c>
      <c r="J45" s="37">
        <v>0</v>
      </c>
      <c r="K45" s="37">
        <v>0</v>
      </c>
      <c r="L45" s="37">
        <v>0</v>
      </c>
      <c r="M45" s="37">
        <f t="shared" si="22"/>
        <v>0</v>
      </c>
      <c r="N45" s="37">
        <v>0</v>
      </c>
      <c r="O45" s="37">
        <v>0</v>
      </c>
      <c r="P45" s="37">
        <v>0</v>
      </c>
      <c r="Q45" s="37">
        <v>0</v>
      </c>
      <c r="R45" s="37">
        <f t="shared" si="23"/>
        <v>812</v>
      </c>
      <c r="S45" s="37">
        <f t="shared" si="24"/>
        <v>812</v>
      </c>
      <c r="T45" s="37">
        <f t="shared" si="24"/>
        <v>0</v>
      </c>
      <c r="U45" s="37">
        <f t="shared" si="24"/>
        <v>0</v>
      </c>
      <c r="V45" s="37">
        <f t="shared" si="25"/>
        <v>0</v>
      </c>
      <c r="W45" s="38">
        <f t="shared" si="16"/>
        <v>0</v>
      </c>
      <c r="X45" s="38">
        <f t="shared" si="17"/>
        <v>0</v>
      </c>
      <c r="Y45" s="38"/>
      <c r="Z45" s="38"/>
      <c r="AA45" s="38"/>
    </row>
    <row r="46" spans="1:27" s="12" customFormat="1" ht="15.75" customHeight="1">
      <c r="A46" s="31" t="s">
        <v>26</v>
      </c>
      <c r="B46" s="32" t="s">
        <v>66</v>
      </c>
      <c r="C46" s="33">
        <f>+C47+C48</f>
        <v>53505.7</v>
      </c>
      <c r="D46" s="33">
        <f t="shared" ref="D46:V46" si="26">+D47+D48</f>
        <v>330</v>
      </c>
      <c r="E46" s="33">
        <f t="shared" si="26"/>
        <v>330</v>
      </c>
      <c r="F46" s="33">
        <f t="shared" si="26"/>
        <v>0</v>
      </c>
      <c r="G46" s="33">
        <f t="shared" si="26"/>
        <v>0</v>
      </c>
      <c r="H46" s="33">
        <f t="shared" si="26"/>
        <v>53175.7</v>
      </c>
      <c r="I46" s="33">
        <f t="shared" si="26"/>
        <v>28543</v>
      </c>
      <c r="J46" s="33">
        <f t="shared" si="26"/>
        <v>1000</v>
      </c>
      <c r="K46" s="33">
        <f t="shared" si="26"/>
        <v>9110.7000000000007</v>
      </c>
      <c r="L46" s="33">
        <f t="shared" si="26"/>
        <v>14522</v>
      </c>
      <c r="M46" s="33">
        <f t="shared" si="26"/>
        <v>15810.262699999999</v>
      </c>
      <c r="N46" s="33">
        <f t="shared" si="26"/>
        <v>7293.9886999999999</v>
      </c>
      <c r="O46" s="33">
        <f t="shared" si="26"/>
        <v>500</v>
      </c>
      <c r="P46" s="33">
        <f t="shared" si="26"/>
        <v>487.274</v>
      </c>
      <c r="Q46" s="33">
        <f t="shared" si="26"/>
        <v>7529</v>
      </c>
      <c r="R46" s="33">
        <f t="shared" si="26"/>
        <v>37695.437299999998</v>
      </c>
      <c r="S46" s="33">
        <f t="shared" si="26"/>
        <v>21579.011299999998</v>
      </c>
      <c r="T46" s="33">
        <f t="shared" si="26"/>
        <v>500</v>
      </c>
      <c r="U46" s="33">
        <f t="shared" si="26"/>
        <v>8623.4259999999995</v>
      </c>
      <c r="V46" s="33">
        <f t="shared" si="26"/>
        <v>6993</v>
      </c>
      <c r="W46" s="34">
        <f>M46/C46</f>
        <v>0.29548744713180092</v>
      </c>
      <c r="X46" s="34">
        <f>N46/(E46+I46)</f>
        <v>0.25262316697260417</v>
      </c>
      <c r="Y46" s="34">
        <f>O46/(F46+J46)</f>
        <v>0.5</v>
      </c>
      <c r="Z46" s="34">
        <f>P46/(G46+K46)</f>
        <v>5.3483705972098734E-2</v>
      </c>
      <c r="AA46" s="34">
        <f>Q46/L46</f>
        <v>0.51845475829775511</v>
      </c>
    </row>
    <row r="47" spans="1:27" ht="18.75" customHeight="1">
      <c r="A47" s="35" t="s">
        <v>45</v>
      </c>
      <c r="B47" s="36" t="s">
        <v>46</v>
      </c>
      <c r="C47" s="37">
        <f>+D47+H47</f>
        <v>34463</v>
      </c>
      <c r="D47" s="37">
        <f>SUM(E47:G47)</f>
        <v>330</v>
      </c>
      <c r="E47" s="37">
        <v>330</v>
      </c>
      <c r="F47" s="37">
        <v>0</v>
      </c>
      <c r="G47" s="37">
        <v>0</v>
      </c>
      <c r="H47" s="37">
        <f>SUM(I47:L47)</f>
        <v>34133</v>
      </c>
      <c r="I47" s="37">
        <v>11110</v>
      </c>
      <c r="J47" s="37">
        <v>1000</v>
      </c>
      <c r="K47" s="37">
        <v>7501</v>
      </c>
      <c r="L47" s="37">
        <v>14522</v>
      </c>
      <c r="M47" s="37">
        <f>SUM(N47:Q47)</f>
        <v>11115</v>
      </c>
      <c r="N47" s="37">
        <v>2966</v>
      </c>
      <c r="O47" s="37">
        <v>500</v>
      </c>
      <c r="P47" s="37">
        <v>120</v>
      </c>
      <c r="Q47" s="37">
        <v>7529</v>
      </c>
      <c r="R47" s="37">
        <f>SUM(S47:V47)</f>
        <v>23348</v>
      </c>
      <c r="S47" s="37">
        <f>(E47+I47)-N47</f>
        <v>8474</v>
      </c>
      <c r="T47" s="37">
        <f>(F47+J47)-O47</f>
        <v>500</v>
      </c>
      <c r="U47" s="37">
        <f>(G47+K47)-P47</f>
        <v>7381</v>
      </c>
      <c r="V47" s="37">
        <f>L47-Q47</f>
        <v>6993</v>
      </c>
      <c r="W47" s="38">
        <f t="shared" ref="W47:W63" si="27">M47/C47</f>
        <v>0.3225198038476047</v>
      </c>
      <c r="X47" s="38">
        <f t="shared" ref="X47:X63" si="28">N47/(E47+I47)</f>
        <v>0.25926573426573429</v>
      </c>
      <c r="Y47" s="38">
        <f>O47/(F47+J47)</f>
        <v>0.5</v>
      </c>
      <c r="Z47" s="38">
        <f t="shared" ref="Z47:Z63" si="29">P47/(G47+K47)</f>
        <v>1.5997866951073192E-2</v>
      </c>
      <c r="AA47" s="38">
        <f>Q47/L47</f>
        <v>0.51845475829775511</v>
      </c>
    </row>
    <row r="48" spans="1:27" ht="15.75" customHeight="1">
      <c r="A48" s="35" t="s">
        <v>45</v>
      </c>
      <c r="B48" s="36" t="s">
        <v>47</v>
      </c>
      <c r="C48" s="37">
        <f t="shared" ref="C48:V48" si="30">SUM(C49:C63)</f>
        <v>19042.7</v>
      </c>
      <c r="D48" s="37">
        <f t="shared" si="30"/>
        <v>0</v>
      </c>
      <c r="E48" s="37">
        <f t="shared" si="30"/>
        <v>0</v>
      </c>
      <c r="F48" s="37">
        <f t="shared" si="30"/>
        <v>0</v>
      </c>
      <c r="G48" s="37">
        <f t="shared" si="30"/>
        <v>0</v>
      </c>
      <c r="H48" s="37">
        <f t="shared" si="30"/>
        <v>19042.7</v>
      </c>
      <c r="I48" s="37">
        <f t="shared" si="30"/>
        <v>17433</v>
      </c>
      <c r="J48" s="37">
        <f t="shared" si="30"/>
        <v>0</v>
      </c>
      <c r="K48" s="37">
        <f t="shared" si="30"/>
        <v>1609.7</v>
      </c>
      <c r="L48" s="37">
        <f t="shared" si="30"/>
        <v>0</v>
      </c>
      <c r="M48" s="37">
        <f t="shared" si="30"/>
        <v>4695.2626999999993</v>
      </c>
      <c r="N48" s="37">
        <f t="shared" si="30"/>
        <v>4327.9886999999999</v>
      </c>
      <c r="O48" s="37">
        <f t="shared" si="30"/>
        <v>0</v>
      </c>
      <c r="P48" s="37">
        <f t="shared" si="30"/>
        <v>367.274</v>
      </c>
      <c r="Q48" s="37">
        <f t="shared" si="30"/>
        <v>0</v>
      </c>
      <c r="R48" s="37">
        <f t="shared" si="30"/>
        <v>14347.4373</v>
      </c>
      <c r="S48" s="37">
        <f t="shared" si="30"/>
        <v>13105.011299999998</v>
      </c>
      <c r="T48" s="37">
        <f t="shared" si="30"/>
        <v>0</v>
      </c>
      <c r="U48" s="37">
        <f t="shared" si="30"/>
        <v>1242.4259999999999</v>
      </c>
      <c r="V48" s="37">
        <f t="shared" si="30"/>
        <v>0</v>
      </c>
      <c r="W48" s="38">
        <f t="shared" si="27"/>
        <v>0.24656496715276716</v>
      </c>
      <c r="X48" s="38">
        <f t="shared" si="28"/>
        <v>0.24826413698158664</v>
      </c>
      <c r="Y48" s="38"/>
      <c r="Z48" s="38">
        <f t="shared" si="29"/>
        <v>0.22816301174131826</v>
      </c>
      <c r="AA48" s="38"/>
    </row>
    <row r="49" spans="1:27" ht="21.75" hidden="1" customHeight="1">
      <c r="A49" s="35" t="s">
        <v>48</v>
      </c>
      <c r="B49" s="36" t="s">
        <v>49</v>
      </c>
      <c r="C49" s="37">
        <f t="shared" ref="C49:C63" si="31">+D49+H49</f>
        <v>4360</v>
      </c>
      <c r="D49" s="37">
        <f t="shared" ref="D49:D63" si="32">SUM(E49:G49)</f>
        <v>0</v>
      </c>
      <c r="E49" s="37">
        <v>0</v>
      </c>
      <c r="F49" s="37">
        <v>0</v>
      </c>
      <c r="G49" s="37">
        <v>0</v>
      </c>
      <c r="H49" s="37">
        <f t="shared" ref="H49:H63" si="33">SUM(I49:L49)</f>
        <v>4360</v>
      </c>
      <c r="I49" s="37">
        <v>4360</v>
      </c>
      <c r="J49" s="37">
        <v>0</v>
      </c>
      <c r="K49" s="37">
        <v>0</v>
      </c>
      <c r="L49" s="37">
        <v>0</v>
      </c>
      <c r="M49" s="37">
        <f t="shared" ref="M49:M63" si="34">SUM(N49:Q49)</f>
        <v>2560.9716999999996</v>
      </c>
      <c r="N49" s="37">
        <v>2560.9716999999996</v>
      </c>
      <c r="O49" s="37">
        <v>0</v>
      </c>
      <c r="P49" s="37">
        <v>0</v>
      </c>
      <c r="Q49" s="37">
        <v>0</v>
      </c>
      <c r="R49" s="37">
        <f t="shared" ref="R49:R63" si="35">SUM(S49:V49)</f>
        <v>1799.0283000000004</v>
      </c>
      <c r="S49" s="37">
        <f t="shared" ref="S49:U63" si="36">(E49+I49)-N49</f>
        <v>1799.0283000000004</v>
      </c>
      <c r="T49" s="37">
        <f t="shared" si="36"/>
        <v>0</v>
      </c>
      <c r="U49" s="37">
        <f t="shared" si="36"/>
        <v>0</v>
      </c>
      <c r="V49" s="37">
        <f t="shared" ref="V49:V63" si="37">L49-Q49</f>
        <v>0</v>
      </c>
      <c r="W49" s="38">
        <f t="shared" si="27"/>
        <v>0.5873788302752293</v>
      </c>
      <c r="X49" s="38">
        <f t="shared" si="28"/>
        <v>0.5873788302752293</v>
      </c>
      <c r="Y49" s="38"/>
      <c r="Z49" s="38"/>
      <c r="AA49" s="38"/>
    </row>
    <row r="50" spans="1:27" ht="21.75" hidden="1" customHeight="1">
      <c r="A50" s="35" t="s">
        <v>48</v>
      </c>
      <c r="B50" s="36" t="s">
        <v>50</v>
      </c>
      <c r="C50" s="37">
        <f t="shared" si="31"/>
        <v>5050</v>
      </c>
      <c r="D50" s="37">
        <f t="shared" si="32"/>
        <v>0</v>
      </c>
      <c r="E50" s="37">
        <v>0</v>
      </c>
      <c r="F50" s="37">
        <v>0</v>
      </c>
      <c r="G50" s="37">
        <v>0</v>
      </c>
      <c r="H50" s="37">
        <f t="shared" si="33"/>
        <v>5050</v>
      </c>
      <c r="I50" s="37">
        <v>4870</v>
      </c>
      <c r="J50" s="37">
        <v>0</v>
      </c>
      <c r="K50" s="37">
        <v>180</v>
      </c>
      <c r="L50" s="37">
        <v>0</v>
      </c>
      <c r="M50" s="37">
        <f t="shared" si="34"/>
        <v>677.43400000000008</v>
      </c>
      <c r="N50" s="37">
        <v>625.43400000000008</v>
      </c>
      <c r="O50" s="37">
        <v>0</v>
      </c>
      <c r="P50" s="37">
        <v>52</v>
      </c>
      <c r="Q50" s="37">
        <v>0</v>
      </c>
      <c r="R50" s="37">
        <f t="shared" si="35"/>
        <v>4372.5659999999998</v>
      </c>
      <c r="S50" s="37">
        <f t="shared" si="36"/>
        <v>4244.5659999999998</v>
      </c>
      <c r="T50" s="37">
        <f t="shared" si="36"/>
        <v>0</v>
      </c>
      <c r="U50" s="37">
        <f t="shared" si="36"/>
        <v>128</v>
      </c>
      <c r="V50" s="37">
        <f t="shared" si="37"/>
        <v>0</v>
      </c>
      <c r="W50" s="38">
        <f t="shared" si="27"/>
        <v>0.13414534653465349</v>
      </c>
      <c r="X50" s="38">
        <f t="shared" si="28"/>
        <v>0.12842587268993841</v>
      </c>
      <c r="Y50" s="38"/>
      <c r="Z50" s="38">
        <f t="shared" si="29"/>
        <v>0.28888888888888886</v>
      </c>
      <c r="AA50" s="38"/>
    </row>
    <row r="51" spans="1:27" ht="21.75" hidden="1" customHeight="1">
      <c r="A51" s="35" t="s">
        <v>48</v>
      </c>
      <c r="B51" s="36" t="s">
        <v>51</v>
      </c>
      <c r="C51" s="37">
        <f t="shared" si="31"/>
        <v>375</v>
      </c>
      <c r="D51" s="37">
        <f t="shared" si="32"/>
        <v>0</v>
      </c>
      <c r="E51" s="37">
        <v>0</v>
      </c>
      <c r="F51" s="37">
        <v>0</v>
      </c>
      <c r="G51" s="37">
        <v>0</v>
      </c>
      <c r="H51" s="37">
        <f t="shared" si="33"/>
        <v>375</v>
      </c>
      <c r="I51" s="37">
        <v>375</v>
      </c>
      <c r="J51" s="37">
        <v>0</v>
      </c>
      <c r="K51" s="37">
        <v>0</v>
      </c>
      <c r="L51" s="37">
        <v>0</v>
      </c>
      <c r="M51" s="37">
        <f t="shared" si="34"/>
        <v>0</v>
      </c>
      <c r="N51" s="37">
        <v>0</v>
      </c>
      <c r="O51" s="37">
        <v>0</v>
      </c>
      <c r="P51" s="37">
        <v>0</v>
      </c>
      <c r="Q51" s="37">
        <v>0</v>
      </c>
      <c r="R51" s="37">
        <f t="shared" si="35"/>
        <v>375</v>
      </c>
      <c r="S51" s="37">
        <f t="shared" si="36"/>
        <v>375</v>
      </c>
      <c r="T51" s="37">
        <f t="shared" si="36"/>
        <v>0</v>
      </c>
      <c r="U51" s="37">
        <f t="shared" si="36"/>
        <v>0</v>
      </c>
      <c r="V51" s="37">
        <f t="shared" si="37"/>
        <v>0</v>
      </c>
      <c r="W51" s="38">
        <f t="shared" si="27"/>
        <v>0</v>
      </c>
      <c r="X51" s="38">
        <f t="shared" si="28"/>
        <v>0</v>
      </c>
      <c r="Y51" s="38"/>
      <c r="Z51" s="38"/>
      <c r="AA51" s="38"/>
    </row>
    <row r="52" spans="1:27" ht="24" hidden="1" customHeight="1">
      <c r="A52" s="35" t="s">
        <v>48</v>
      </c>
      <c r="B52" s="36" t="s">
        <v>52</v>
      </c>
      <c r="C52" s="37">
        <f t="shared" si="31"/>
        <v>375</v>
      </c>
      <c r="D52" s="37">
        <f t="shared" si="32"/>
        <v>0</v>
      </c>
      <c r="E52" s="37">
        <v>0</v>
      </c>
      <c r="F52" s="37">
        <v>0</v>
      </c>
      <c r="G52" s="37">
        <v>0</v>
      </c>
      <c r="H52" s="37">
        <f t="shared" si="33"/>
        <v>375</v>
      </c>
      <c r="I52" s="37">
        <v>375</v>
      </c>
      <c r="J52" s="37">
        <v>0</v>
      </c>
      <c r="K52" s="37">
        <v>0</v>
      </c>
      <c r="L52" s="37">
        <v>0</v>
      </c>
      <c r="M52" s="37">
        <f t="shared" si="34"/>
        <v>0</v>
      </c>
      <c r="N52" s="37">
        <v>0</v>
      </c>
      <c r="O52" s="37">
        <v>0</v>
      </c>
      <c r="P52" s="37">
        <v>0</v>
      </c>
      <c r="Q52" s="37">
        <v>0</v>
      </c>
      <c r="R52" s="37">
        <f t="shared" si="35"/>
        <v>375</v>
      </c>
      <c r="S52" s="37">
        <f t="shared" si="36"/>
        <v>375</v>
      </c>
      <c r="T52" s="37">
        <f t="shared" si="36"/>
        <v>0</v>
      </c>
      <c r="U52" s="37">
        <f t="shared" si="36"/>
        <v>0</v>
      </c>
      <c r="V52" s="37">
        <f t="shared" si="37"/>
        <v>0</v>
      </c>
      <c r="W52" s="38">
        <f t="shared" si="27"/>
        <v>0</v>
      </c>
      <c r="X52" s="38">
        <f t="shared" si="28"/>
        <v>0</v>
      </c>
      <c r="Y52" s="38"/>
      <c r="Z52" s="38"/>
      <c r="AA52" s="38"/>
    </row>
    <row r="53" spans="1:27" ht="25.5" hidden="1" customHeight="1">
      <c r="A53" s="35" t="s">
        <v>48</v>
      </c>
      <c r="B53" s="36" t="s">
        <v>53</v>
      </c>
      <c r="C53" s="37">
        <f t="shared" si="31"/>
        <v>450</v>
      </c>
      <c r="D53" s="37">
        <f t="shared" si="32"/>
        <v>0</v>
      </c>
      <c r="E53" s="37">
        <v>0</v>
      </c>
      <c r="F53" s="37">
        <v>0</v>
      </c>
      <c r="G53" s="37">
        <v>0</v>
      </c>
      <c r="H53" s="37">
        <f t="shared" si="33"/>
        <v>450</v>
      </c>
      <c r="I53" s="37">
        <v>200</v>
      </c>
      <c r="J53" s="37">
        <v>0</v>
      </c>
      <c r="K53" s="37">
        <v>250</v>
      </c>
      <c r="L53" s="37">
        <v>0</v>
      </c>
      <c r="M53" s="37">
        <f t="shared" si="34"/>
        <v>250</v>
      </c>
      <c r="N53" s="37">
        <v>0</v>
      </c>
      <c r="O53" s="37">
        <v>0</v>
      </c>
      <c r="P53" s="37">
        <v>250</v>
      </c>
      <c r="Q53" s="37">
        <v>0</v>
      </c>
      <c r="R53" s="37">
        <f t="shared" si="35"/>
        <v>200</v>
      </c>
      <c r="S53" s="37">
        <f t="shared" si="36"/>
        <v>200</v>
      </c>
      <c r="T53" s="37">
        <f t="shared" si="36"/>
        <v>0</v>
      </c>
      <c r="U53" s="37">
        <f t="shared" si="36"/>
        <v>0</v>
      </c>
      <c r="V53" s="37">
        <f t="shared" si="37"/>
        <v>0</v>
      </c>
      <c r="W53" s="38">
        <f t="shared" si="27"/>
        <v>0.55555555555555558</v>
      </c>
      <c r="X53" s="38">
        <f t="shared" si="28"/>
        <v>0</v>
      </c>
      <c r="Y53" s="38"/>
      <c r="Z53" s="38">
        <f t="shared" si="29"/>
        <v>1</v>
      </c>
      <c r="AA53" s="38"/>
    </row>
    <row r="54" spans="1:27" ht="26.25" hidden="1" customHeight="1">
      <c r="A54" s="35" t="s">
        <v>48</v>
      </c>
      <c r="B54" s="36" t="s">
        <v>54</v>
      </c>
      <c r="C54" s="37">
        <f t="shared" si="31"/>
        <v>0</v>
      </c>
      <c r="D54" s="37">
        <f t="shared" si="32"/>
        <v>0</v>
      </c>
      <c r="E54" s="37">
        <v>0</v>
      </c>
      <c r="F54" s="37">
        <v>0</v>
      </c>
      <c r="G54" s="37">
        <v>0</v>
      </c>
      <c r="H54" s="37">
        <f t="shared" si="33"/>
        <v>0</v>
      </c>
      <c r="I54" s="37">
        <v>0</v>
      </c>
      <c r="J54" s="37">
        <v>0</v>
      </c>
      <c r="K54" s="37">
        <v>0</v>
      </c>
      <c r="L54" s="37">
        <v>0</v>
      </c>
      <c r="M54" s="37">
        <f t="shared" si="34"/>
        <v>0</v>
      </c>
      <c r="N54" s="37">
        <v>0</v>
      </c>
      <c r="O54" s="37">
        <v>0</v>
      </c>
      <c r="P54" s="37">
        <v>0</v>
      </c>
      <c r="Q54" s="37">
        <v>0</v>
      </c>
      <c r="R54" s="37">
        <f t="shared" si="35"/>
        <v>0</v>
      </c>
      <c r="S54" s="37">
        <f t="shared" si="36"/>
        <v>0</v>
      </c>
      <c r="T54" s="37">
        <f t="shared" si="36"/>
        <v>0</v>
      </c>
      <c r="U54" s="37">
        <f t="shared" si="36"/>
        <v>0</v>
      </c>
      <c r="V54" s="37">
        <f t="shared" si="37"/>
        <v>0</v>
      </c>
      <c r="W54" s="38"/>
      <c r="X54" s="38"/>
      <c r="Y54" s="38"/>
      <c r="Z54" s="38"/>
      <c r="AA54" s="38"/>
    </row>
    <row r="55" spans="1:27" ht="20.25" hidden="1" customHeight="1">
      <c r="A55" s="35" t="s">
        <v>48</v>
      </c>
      <c r="B55" s="36" t="s">
        <v>55</v>
      </c>
      <c r="C55" s="37">
        <f t="shared" si="31"/>
        <v>1074</v>
      </c>
      <c r="D55" s="37">
        <f t="shared" si="32"/>
        <v>0</v>
      </c>
      <c r="E55" s="37">
        <v>0</v>
      </c>
      <c r="F55" s="37">
        <v>0</v>
      </c>
      <c r="G55" s="37">
        <v>0</v>
      </c>
      <c r="H55" s="37">
        <f t="shared" si="33"/>
        <v>1074</v>
      </c>
      <c r="I55" s="37">
        <v>750</v>
      </c>
      <c r="J55" s="37">
        <v>0</v>
      </c>
      <c r="K55" s="37">
        <v>324</v>
      </c>
      <c r="L55" s="37">
        <v>0</v>
      </c>
      <c r="M55" s="37">
        <f t="shared" si="34"/>
        <v>134.80000000000001</v>
      </c>
      <c r="N55" s="37">
        <v>121.8</v>
      </c>
      <c r="O55" s="37">
        <v>0</v>
      </c>
      <c r="P55" s="37">
        <v>13</v>
      </c>
      <c r="Q55" s="37">
        <v>0</v>
      </c>
      <c r="R55" s="37">
        <f t="shared" si="35"/>
        <v>939.2</v>
      </c>
      <c r="S55" s="37">
        <f t="shared" si="36"/>
        <v>628.20000000000005</v>
      </c>
      <c r="T55" s="37">
        <f t="shared" si="36"/>
        <v>0</v>
      </c>
      <c r="U55" s="37">
        <f t="shared" si="36"/>
        <v>311</v>
      </c>
      <c r="V55" s="37">
        <f t="shared" si="37"/>
        <v>0</v>
      </c>
      <c r="W55" s="38">
        <f t="shared" si="27"/>
        <v>0.12551210428305401</v>
      </c>
      <c r="X55" s="38">
        <f t="shared" si="28"/>
        <v>0.16239999999999999</v>
      </c>
      <c r="Y55" s="38"/>
      <c r="Z55" s="38">
        <f t="shared" si="29"/>
        <v>4.0123456790123455E-2</v>
      </c>
      <c r="AA55" s="38"/>
    </row>
    <row r="56" spans="1:27" ht="21" hidden="1" customHeight="1">
      <c r="A56" s="35" t="s">
        <v>48</v>
      </c>
      <c r="B56" s="36" t="s">
        <v>56</v>
      </c>
      <c r="C56" s="37">
        <f t="shared" si="31"/>
        <v>1908</v>
      </c>
      <c r="D56" s="37">
        <f t="shared" si="32"/>
        <v>0</v>
      </c>
      <c r="E56" s="37">
        <v>0</v>
      </c>
      <c r="F56" s="37">
        <v>0</v>
      </c>
      <c r="G56" s="37">
        <v>0</v>
      </c>
      <c r="H56" s="37">
        <f t="shared" si="33"/>
        <v>1908</v>
      </c>
      <c r="I56" s="37">
        <v>1550</v>
      </c>
      <c r="J56" s="37">
        <v>0</v>
      </c>
      <c r="K56" s="37">
        <v>358</v>
      </c>
      <c r="L56" s="37">
        <v>0</v>
      </c>
      <c r="M56" s="37">
        <f t="shared" si="34"/>
        <v>305.28000000000003</v>
      </c>
      <c r="N56" s="37">
        <v>273.74600000000004</v>
      </c>
      <c r="O56" s="37">
        <v>0</v>
      </c>
      <c r="P56" s="37">
        <v>31.533999999999999</v>
      </c>
      <c r="Q56" s="37">
        <v>0</v>
      </c>
      <c r="R56" s="37">
        <f t="shared" si="35"/>
        <v>1602.7199999999998</v>
      </c>
      <c r="S56" s="37">
        <f t="shared" si="36"/>
        <v>1276.2539999999999</v>
      </c>
      <c r="T56" s="37">
        <f t="shared" si="36"/>
        <v>0</v>
      </c>
      <c r="U56" s="37">
        <f t="shared" si="36"/>
        <v>326.46600000000001</v>
      </c>
      <c r="V56" s="37">
        <f t="shared" si="37"/>
        <v>0</v>
      </c>
      <c r="W56" s="38">
        <f t="shared" si="27"/>
        <v>0.16</v>
      </c>
      <c r="X56" s="38">
        <f t="shared" si="28"/>
        <v>0.17661032258064518</v>
      </c>
      <c r="Y56" s="38"/>
      <c r="Z56" s="38">
        <f t="shared" si="29"/>
        <v>8.8083798882681558E-2</v>
      </c>
      <c r="AA56" s="38"/>
    </row>
    <row r="57" spans="1:27" ht="21" hidden="1" customHeight="1">
      <c r="A57" s="35" t="s">
        <v>48</v>
      </c>
      <c r="B57" s="36" t="s">
        <v>57</v>
      </c>
      <c r="C57" s="37">
        <f t="shared" si="31"/>
        <v>1091.76</v>
      </c>
      <c r="D57" s="37">
        <f t="shared" si="32"/>
        <v>0</v>
      </c>
      <c r="E57" s="37">
        <v>0</v>
      </c>
      <c r="F57" s="37">
        <v>0</v>
      </c>
      <c r="G57" s="37">
        <v>0</v>
      </c>
      <c r="H57" s="37">
        <f t="shared" si="33"/>
        <v>1091.76</v>
      </c>
      <c r="I57" s="37">
        <v>830</v>
      </c>
      <c r="J57" s="37">
        <v>0</v>
      </c>
      <c r="K57" s="37">
        <v>261.76</v>
      </c>
      <c r="L57" s="37">
        <v>0</v>
      </c>
      <c r="M57" s="37">
        <f t="shared" si="34"/>
        <v>309.5</v>
      </c>
      <c r="N57" s="37">
        <v>294.7</v>
      </c>
      <c r="O57" s="37">
        <v>0</v>
      </c>
      <c r="P57" s="37">
        <v>14.8</v>
      </c>
      <c r="Q57" s="37">
        <v>0</v>
      </c>
      <c r="R57" s="37">
        <f t="shared" si="35"/>
        <v>782.26</v>
      </c>
      <c r="S57" s="37">
        <f t="shared" si="36"/>
        <v>535.29999999999995</v>
      </c>
      <c r="T57" s="37">
        <f t="shared" si="36"/>
        <v>0</v>
      </c>
      <c r="U57" s="37">
        <f t="shared" si="36"/>
        <v>246.95999999999998</v>
      </c>
      <c r="V57" s="37">
        <f t="shared" si="37"/>
        <v>0</v>
      </c>
      <c r="W57" s="38">
        <f t="shared" si="27"/>
        <v>0.28348721330695392</v>
      </c>
      <c r="X57" s="38">
        <f t="shared" si="28"/>
        <v>0.35506024096385541</v>
      </c>
      <c r="Y57" s="38"/>
      <c r="Z57" s="38">
        <f t="shared" si="29"/>
        <v>5.6540342298288512E-2</v>
      </c>
      <c r="AA57" s="38"/>
    </row>
    <row r="58" spans="1:27" ht="21" hidden="1" customHeight="1">
      <c r="A58" s="35" t="s">
        <v>48</v>
      </c>
      <c r="B58" s="36" t="s">
        <v>58</v>
      </c>
      <c r="C58" s="37">
        <f t="shared" si="31"/>
        <v>890</v>
      </c>
      <c r="D58" s="37">
        <f t="shared" si="32"/>
        <v>0</v>
      </c>
      <c r="E58" s="37">
        <v>0</v>
      </c>
      <c r="F58" s="37">
        <v>0</v>
      </c>
      <c r="G58" s="37">
        <v>0</v>
      </c>
      <c r="H58" s="37">
        <f t="shared" si="33"/>
        <v>890</v>
      </c>
      <c r="I58" s="37">
        <v>800</v>
      </c>
      <c r="J58" s="37">
        <v>0</v>
      </c>
      <c r="K58" s="37">
        <v>90</v>
      </c>
      <c r="L58" s="37">
        <v>0</v>
      </c>
      <c r="M58" s="37">
        <f t="shared" si="34"/>
        <v>0</v>
      </c>
      <c r="N58" s="37">
        <v>0</v>
      </c>
      <c r="O58" s="37">
        <v>0</v>
      </c>
      <c r="P58" s="37">
        <v>0</v>
      </c>
      <c r="Q58" s="37">
        <v>0</v>
      </c>
      <c r="R58" s="37">
        <f t="shared" si="35"/>
        <v>890</v>
      </c>
      <c r="S58" s="37">
        <f t="shared" si="36"/>
        <v>800</v>
      </c>
      <c r="T58" s="37">
        <f t="shared" si="36"/>
        <v>0</v>
      </c>
      <c r="U58" s="37">
        <f t="shared" si="36"/>
        <v>90</v>
      </c>
      <c r="V58" s="37">
        <f t="shared" si="37"/>
        <v>0</v>
      </c>
      <c r="W58" s="38">
        <f t="shared" si="27"/>
        <v>0</v>
      </c>
      <c r="X58" s="38">
        <f t="shared" si="28"/>
        <v>0</v>
      </c>
      <c r="Y58" s="38"/>
      <c r="Z58" s="38">
        <f t="shared" si="29"/>
        <v>0</v>
      </c>
      <c r="AA58" s="38"/>
    </row>
    <row r="59" spans="1:27" ht="21" hidden="1" customHeight="1">
      <c r="A59" s="35" t="s">
        <v>48</v>
      </c>
      <c r="B59" s="36" t="s">
        <v>59</v>
      </c>
      <c r="C59" s="37">
        <f t="shared" si="31"/>
        <v>525</v>
      </c>
      <c r="D59" s="37">
        <f t="shared" si="32"/>
        <v>0</v>
      </c>
      <c r="E59" s="37">
        <v>0</v>
      </c>
      <c r="F59" s="37">
        <v>0</v>
      </c>
      <c r="G59" s="37">
        <v>0</v>
      </c>
      <c r="H59" s="37">
        <f t="shared" si="33"/>
        <v>525</v>
      </c>
      <c r="I59" s="37">
        <v>500</v>
      </c>
      <c r="J59" s="37">
        <v>0</v>
      </c>
      <c r="K59" s="37">
        <v>25</v>
      </c>
      <c r="L59" s="37">
        <v>0</v>
      </c>
      <c r="M59" s="37">
        <f t="shared" si="34"/>
        <v>0</v>
      </c>
      <c r="N59" s="37">
        <v>0</v>
      </c>
      <c r="O59" s="37">
        <v>0</v>
      </c>
      <c r="P59" s="37">
        <v>0</v>
      </c>
      <c r="Q59" s="37">
        <v>0</v>
      </c>
      <c r="R59" s="37">
        <f t="shared" si="35"/>
        <v>525</v>
      </c>
      <c r="S59" s="37">
        <f t="shared" si="36"/>
        <v>500</v>
      </c>
      <c r="T59" s="37">
        <f t="shared" si="36"/>
        <v>0</v>
      </c>
      <c r="U59" s="37">
        <f t="shared" si="36"/>
        <v>25</v>
      </c>
      <c r="V59" s="37">
        <f t="shared" si="37"/>
        <v>0</v>
      </c>
      <c r="W59" s="38">
        <f t="shared" si="27"/>
        <v>0</v>
      </c>
      <c r="X59" s="38">
        <f t="shared" si="28"/>
        <v>0</v>
      </c>
      <c r="Y59" s="38"/>
      <c r="Z59" s="38">
        <f t="shared" si="29"/>
        <v>0</v>
      </c>
      <c r="AA59" s="38"/>
    </row>
    <row r="60" spans="1:27" ht="21" hidden="1" customHeight="1">
      <c r="A60" s="35" t="s">
        <v>48</v>
      </c>
      <c r="B60" s="36" t="s">
        <v>60</v>
      </c>
      <c r="C60" s="37">
        <f t="shared" si="31"/>
        <v>500</v>
      </c>
      <c r="D60" s="37">
        <f t="shared" si="32"/>
        <v>0</v>
      </c>
      <c r="E60" s="37">
        <v>0</v>
      </c>
      <c r="F60" s="37">
        <v>0</v>
      </c>
      <c r="G60" s="37">
        <v>0</v>
      </c>
      <c r="H60" s="37">
        <f t="shared" si="33"/>
        <v>500</v>
      </c>
      <c r="I60" s="37">
        <v>460</v>
      </c>
      <c r="J60" s="37">
        <v>0</v>
      </c>
      <c r="K60" s="37">
        <v>40</v>
      </c>
      <c r="L60" s="37">
        <v>0</v>
      </c>
      <c r="M60" s="37">
        <f t="shared" si="34"/>
        <v>8.5</v>
      </c>
      <c r="N60" s="37">
        <v>8.5</v>
      </c>
      <c r="O60" s="37">
        <v>0</v>
      </c>
      <c r="P60" s="37">
        <v>0</v>
      </c>
      <c r="Q60" s="37">
        <v>0</v>
      </c>
      <c r="R60" s="37">
        <f t="shared" si="35"/>
        <v>491.5</v>
      </c>
      <c r="S60" s="37">
        <f t="shared" si="36"/>
        <v>451.5</v>
      </c>
      <c r="T60" s="37">
        <f t="shared" si="36"/>
        <v>0</v>
      </c>
      <c r="U60" s="37">
        <f t="shared" si="36"/>
        <v>40</v>
      </c>
      <c r="V60" s="37">
        <f t="shared" si="37"/>
        <v>0</v>
      </c>
      <c r="W60" s="38">
        <f t="shared" si="27"/>
        <v>1.7000000000000001E-2</v>
      </c>
      <c r="X60" s="38">
        <f t="shared" si="28"/>
        <v>1.8478260869565218E-2</v>
      </c>
      <c r="Y60" s="38"/>
      <c r="Z60" s="38">
        <f t="shared" si="29"/>
        <v>0</v>
      </c>
      <c r="AA60" s="38"/>
    </row>
    <row r="61" spans="1:27" ht="21" hidden="1">
      <c r="A61" s="35" t="s">
        <v>48</v>
      </c>
      <c r="B61" s="36" t="s">
        <v>61</v>
      </c>
      <c r="C61" s="37">
        <f t="shared" si="31"/>
        <v>177.94</v>
      </c>
      <c r="D61" s="37">
        <f t="shared" si="32"/>
        <v>0</v>
      </c>
      <c r="E61" s="37">
        <v>0</v>
      </c>
      <c r="F61" s="37">
        <v>0</v>
      </c>
      <c r="G61" s="37">
        <v>0</v>
      </c>
      <c r="H61" s="37">
        <f t="shared" si="33"/>
        <v>177.94</v>
      </c>
      <c r="I61" s="37">
        <v>172</v>
      </c>
      <c r="J61" s="37">
        <v>0</v>
      </c>
      <c r="K61" s="37">
        <v>5.94</v>
      </c>
      <c r="L61" s="37">
        <v>0</v>
      </c>
      <c r="M61" s="37">
        <f t="shared" si="34"/>
        <v>69.98</v>
      </c>
      <c r="N61" s="37">
        <v>64.040000000000006</v>
      </c>
      <c r="O61" s="37">
        <v>0</v>
      </c>
      <c r="P61" s="37">
        <v>5.94</v>
      </c>
      <c r="Q61" s="37">
        <v>0</v>
      </c>
      <c r="R61" s="37">
        <f t="shared" si="35"/>
        <v>107.96</v>
      </c>
      <c r="S61" s="37">
        <f t="shared" si="36"/>
        <v>107.96</v>
      </c>
      <c r="T61" s="37">
        <f t="shared" si="36"/>
        <v>0</v>
      </c>
      <c r="U61" s="37">
        <f t="shared" si="36"/>
        <v>0</v>
      </c>
      <c r="V61" s="37">
        <f t="shared" si="37"/>
        <v>0</v>
      </c>
      <c r="W61" s="38">
        <f t="shared" si="27"/>
        <v>0.393278633247162</v>
      </c>
      <c r="X61" s="38">
        <f t="shared" si="28"/>
        <v>0.37232558139534888</v>
      </c>
      <c r="Y61" s="38"/>
      <c r="Z61" s="38">
        <f t="shared" si="29"/>
        <v>1</v>
      </c>
      <c r="AA61" s="38"/>
    </row>
    <row r="62" spans="1:27" ht="20.25" hidden="1" customHeight="1">
      <c r="A62" s="35" t="s">
        <v>48</v>
      </c>
      <c r="B62" s="36" t="s">
        <v>62</v>
      </c>
      <c r="C62" s="37">
        <f t="shared" si="31"/>
        <v>1160</v>
      </c>
      <c r="D62" s="37">
        <f t="shared" si="32"/>
        <v>0</v>
      </c>
      <c r="E62" s="37">
        <v>0</v>
      </c>
      <c r="F62" s="37">
        <v>0</v>
      </c>
      <c r="G62" s="37">
        <v>0</v>
      </c>
      <c r="H62" s="37">
        <f t="shared" si="33"/>
        <v>1160</v>
      </c>
      <c r="I62" s="37">
        <v>1100</v>
      </c>
      <c r="J62" s="37">
        <v>0</v>
      </c>
      <c r="K62" s="37">
        <v>60</v>
      </c>
      <c r="L62" s="37">
        <v>0</v>
      </c>
      <c r="M62" s="37">
        <f t="shared" si="34"/>
        <v>378.79700000000003</v>
      </c>
      <c r="N62" s="37">
        <v>378.79700000000003</v>
      </c>
      <c r="O62" s="37">
        <v>0</v>
      </c>
      <c r="P62" s="37">
        <v>0</v>
      </c>
      <c r="Q62" s="37">
        <v>0</v>
      </c>
      <c r="R62" s="37">
        <f t="shared" si="35"/>
        <v>781.20299999999997</v>
      </c>
      <c r="S62" s="37">
        <f t="shared" si="36"/>
        <v>721.20299999999997</v>
      </c>
      <c r="T62" s="37">
        <f t="shared" si="36"/>
        <v>0</v>
      </c>
      <c r="U62" s="37">
        <f t="shared" si="36"/>
        <v>60</v>
      </c>
      <c r="V62" s="37">
        <f t="shared" si="37"/>
        <v>0</v>
      </c>
      <c r="W62" s="38">
        <f t="shared" si="27"/>
        <v>0.32654913793103452</v>
      </c>
      <c r="X62" s="38">
        <f t="shared" si="28"/>
        <v>0.34436090909090911</v>
      </c>
      <c r="Y62" s="38"/>
      <c r="Z62" s="38">
        <f t="shared" si="29"/>
        <v>0</v>
      </c>
      <c r="AA62" s="38"/>
    </row>
    <row r="63" spans="1:27" ht="22.5" hidden="1" customHeight="1">
      <c r="A63" s="35" t="s">
        <v>48</v>
      </c>
      <c r="B63" s="36" t="s">
        <v>63</v>
      </c>
      <c r="C63" s="37">
        <f t="shared" si="31"/>
        <v>1106</v>
      </c>
      <c r="D63" s="37">
        <f t="shared" si="32"/>
        <v>0</v>
      </c>
      <c r="E63" s="37">
        <v>0</v>
      </c>
      <c r="F63" s="37">
        <v>0</v>
      </c>
      <c r="G63" s="37">
        <v>0</v>
      </c>
      <c r="H63" s="37">
        <f t="shared" si="33"/>
        <v>1106</v>
      </c>
      <c r="I63" s="37">
        <v>1091</v>
      </c>
      <c r="J63" s="37">
        <v>0</v>
      </c>
      <c r="K63" s="37">
        <v>15</v>
      </c>
      <c r="L63" s="37">
        <v>0</v>
      </c>
      <c r="M63" s="37">
        <f t="shared" si="34"/>
        <v>0</v>
      </c>
      <c r="N63" s="37">
        <v>0</v>
      </c>
      <c r="O63" s="37">
        <v>0</v>
      </c>
      <c r="P63" s="37">
        <v>0</v>
      </c>
      <c r="Q63" s="37">
        <v>0</v>
      </c>
      <c r="R63" s="37">
        <f t="shared" si="35"/>
        <v>1106</v>
      </c>
      <c r="S63" s="37">
        <f t="shared" si="36"/>
        <v>1091</v>
      </c>
      <c r="T63" s="37">
        <f t="shared" si="36"/>
        <v>0</v>
      </c>
      <c r="U63" s="37">
        <f t="shared" si="36"/>
        <v>15</v>
      </c>
      <c r="V63" s="37">
        <f t="shared" si="37"/>
        <v>0</v>
      </c>
      <c r="W63" s="38">
        <f t="shared" si="27"/>
        <v>0</v>
      </c>
      <c r="X63" s="38">
        <f t="shared" si="28"/>
        <v>0</v>
      </c>
      <c r="Y63" s="38"/>
      <c r="Z63" s="38">
        <f t="shared" si="29"/>
        <v>0</v>
      </c>
      <c r="AA63" s="38"/>
    </row>
    <row r="64" spans="1:27" s="12" customFormat="1" ht="15.75" customHeight="1">
      <c r="A64" s="31" t="s">
        <v>67</v>
      </c>
      <c r="B64" s="32" t="s">
        <v>10</v>
      </c>
      <c r="C64" s="33">
        <f>+C65+C66</f>
        <v>28756.400000000001</v>
      </c>
      <c r="D64" s="33">
        <f t="shared" ref="D64:V64" si="38">+D65+D66</f>
        <v>30</v>
      </c>
      <c r="E64" s="33">
        <f t="shared" si="38"/>
        <v>30</v>
      </c>
      <c r="F64" s="33">
        <f t="shared" si="38"/>
        <v>0</v>
      </c>
      <c r="G64" s="33">
        <f t="shared" si="38"/>
        <v>0</v>
      </c>
      <c r="H64" s="33">
        <f t="shared" si="38"/>
        <v>28726.400000000001</v>
      </c>
      <c r="I64" s="33">
        <f t="shared" si="38"/>
        <v>9807</v>
      </c>
      <c r="J64" s="33">
        <f t="shared" si="38"/>
        <v>8800</v>
      </c>
      <c r="K64" s="33">
        <f t="shared" si="38"/>
        <v>6921.4</v>
      </c>
      <c r="L64" s="33">
        <f t="shared" si="38"/>
        <v>3198</v>
      </c>
      <c r="M64" s="33">
        <f t="shared" si="38"/>
        <v>7521.9950000000008</v>
      </c>
      <c r="N64" s="33">
        <f t="shared" si="38"/>
        <v>3130.0450000000001</v>
      </c>
      <c r="O64" s="33">
        <f t="shared" si="38"/>
        <v>1369.27</v>
      </c>
      <c r="P64" s="33">
        <f t="shared" si="38"/>
        <v>29.68</v>
      </c>
      <c r="Q64" s="33">
        <f t="shared" si="38"/>
        <v>2993</v>
      </c>
      <c r="R64" s="33">
        <f t="shared" si="38"/>
        <v>21234.404999999999</v>
      </c>
      <c r="S64" s="33">
        <f t="shared" si="38"/>
        <v>6706.9549999999999</v>
      </c>
      <c r="T64" s="33">
        <f t="shared" si="38"/>
        <v>7430.73</v>
      </c>
      <c r="U64" s="33">
        <f t="shared" si="38"/>
        <v>6891.7199999999993</v>
      </c>
      <c r="V64" s="33">
        <f t="shared" si="38"/>
        <v>205</v>
      </c>
      <c r="W64" s="34">
        <f>M64/C64</f>
        <v>0.26157637951899404</v>
      </c>
      <c r="X64" s="34">
        <f>N64/(E64+I64)</f>
        <v>0.31819101352038226</v>
      </c>
      <c r="Y64" s="34">
        <f>O64/(F64+J64)</f>
        <v>0.15559886363636363</v>
      </c>
      <c r="Z64" s="34">
        <f>P64/(G64+K64)</f>
        <v>4.288149796283989E-3</v>
      </c>
      <c r="AA64" s="34">
        <f>Q64/L64</f>
        <v>0.9358974358974359</v>
      </c>
    </row>
    <row r="65" spans="1:27" ht="18.75" customHeight="1">
      <c r="A65" s="35" t="s">
        <v>45</v>
      </c>
      <c r="B65" s="36" t="s">
        <v>46</v>
      </c>
      <c r="C65" s="37">
        <f>+D65+H65</f>
        <v>22739.4</v>
      </c>
      <c r="D65" s="37">
        <f>SUM(E65:G65)</f>
        <v>30</v>
      </c>
      <c r="E65" s="37">
        <v>30</v>
      </c>
      <c r="F65" s="37">
        <v>0</v>
      </c>
      <c r="G65" s="37">
        <v>0</v>
      </c>
      <c r="H65" s="37">
        <f>SUM(I65:L65)</f>
        <v>22709.4</v>
      </c>
      <c r="I65" s="37">
        <v>4620</v>
      </c>
      <c r="J65" s="37">
        <v>8200</v>
      </c>
      <c r="K65" s="37">
        <v>6691.4</v>
      </c>
      <c r="L65" s="37">
        <v>3198</v>
      </c>
      <c r="M65" s="37">
        <f>SUM(N65:Q65)</f>
        <v>6522.27</v>
      </c>
      <c r="N65" s="37">
        <v>2220</v>
      </c>
      <c r="O65" s="37">
        <v>1309.27</v>
      </c>
      <c r="P65" s="37">
        <v>0</v>
      </c>
      <c r="Q65" s="37">
        <v>2993</v>
      </c>
      <c r="R65" s="37">
        <f>SUM(S65:V65)</f>
        <v>16217.13</v>
      </c>
      <c r="S65" s="37">
        <f>(E65+I65)-N65</f>
        <v>2430</v>
      </c>
      <c r="T65" s="37">
        <f>(F65+J65)-O65</f>
        <v>6890.73</v>
      </c>
      <c r="U65" s="37">
        <f>(G65+K65)-P65</f>
        <v>6691.4</v>
      </c>
      <c r="V65" s="37">
        <f>L65-Q65</f>
        <v>205</v>
      </c>
      <c r="W65" s="38">
        <f t="shared" ref="W65:W80" si="39">M65/C65</f>
        <v>0.28682682920393676</v>
      </c>
      <c r="X65" s="38">
        <f t="shared" ref="X65:X80" si="40">N65/(E65+I65)</f>
        <v>0.47741935483870968</v>
      </c>
      <c r="Y65" s="38">
        <f>O65/(F65+J65)</f>
        <v>0.1596670731707317</v>
      </c>
      <c r="Z65" s="38">
        <f>P65/(G65+K65)</f>
        <v>0</v>
      </c>
      <c r="AA65" s="38">
        <f>Q65/L65</f>
        <v>0.9358974358974359</v>
      </c>
    </row>
    <row r="66" spans="1:27" ht="15.75" customHeight="1">
      <c r="A66" s="35" t="s">
        <v>45</v>
      </c>
      <c r="B66" s="36" t="s">
        <v>47</v>
      </c>
      <c r="C66" s="37">
        <f t="shared" ref="C66:V66" si="41">SUM(C67:C81)</f>
        <v>6017</v>
      </c>
      <c r="D66" s="37">
        <f t="shared" si="41"/>
        <v>0</v>
      </c>
      <c r="E66" s="37">
        <f t="shared" si="41"/>
        <v>0</v>
      </c>
      <c r="F66" s="37">
        <f t="shared" si="41"/>
        <v>0</v>
      </c>
      <c r="G66" s="37">
        <f t="shared" si="41"/>
        <v>0</v>
      </c>
      <c r="H66" s="37">
        <f t="shared" si="41"/>
        <v>6017</v>
      </c>
      <c r="I66" s="37">
        <f t="shared" si="41"/>
        <v>5187</v>
      </c>
      <c r="J66" s="37">
        <f t="shared" si="41"/>
        <v>600</v>
      </c>
      <c r="K66" s="37">
        <f t="shared" si="41"/>
        <v>230</v>
      </c>
      <c r="L66" s="37">
        <f t="shared" si="41"/>
        <v>0</v>
      </c>
      <c r="M66" s="37">
        <f t="shared" si="41"/>
        <v>999.72500000000014</v>
      </c>
      <c r="N66" s="37">
        <f t="shared" si="41"/>
        <v>910.04500000000007</v>
      </c>
      <c r="O66" s="37">
        <f t="shared" si="41"/>
        <v>60</v>
      </c>
      <c r="P66" s="37">
        <f t="shared" si="41"/>
        <v>29.68</v>
      </c>
      <c r="Q66" s="37">
        <f t="shared" si="41"/>
        <v>0</v>
      </c>
      <c r="R66" s="37">
        <f t="shared" si="41"/>
        <v>5017.2749999999996</v>
      </c>
      <c r="S66" s="37">
        <f t="shared" si="41"/>
        <v>4276.9549999999999</v>
      </c>
      <c r="T66" s="37">
        <f t="shared" si="41"/>
        <v>540</v>
      </c>
      <c r="U66" s="37">
        <f t="shared" si="41"/>
        <v>200.32</v>
      </c>
      <c r="V66" s="37">
        <f t="shared" si="41"/>
        <v>0</v>
      </c>
      <c r="W66" s="38">
        <f t="shared" si="39"/>
        <v>0.1661500747881004</v>
      </c>
      <c r="X66" s="38">
        <f t="shared" si="40"/>
        <v>0.1754472720262194</v>
      </c>
      <c r="Y66" s="38">
        <f>O66/(F66+J66)</f>
        <v>0.1</v>
      </c>
      <c r="Z66" s="38">
        <f>P66/(G66+K66)</f>
        <v>0.12904347826086957</v>
      </c>
      <c r="AA66" s="38"/>
    </row>
    <row r="67" spans="1:27" ht="19.5" hidden="1" customHeight="1">
      <c r="A67" s="35" t="s">
        <v>48</v>
      </c>
      <c r="B67" s="36" t="s">
        <v>49</v>
      </c>
      <c r="C67" s="37">
        <f t="shared" ref="C67:C81" si="42">+D67+H67</f>
        <v>1050</v>
      </c>
      <c r="D67" s="37">
        <f t="shared" ref="D67:D81" si="43">SUM(E67:G67)</f>
        <v>0</v>
      </c>
      <c r="E67" s="37">
        <v>0</v>
      </c>
      <c r="F67" s="37">
        <v>0</v>
      </c>
      <c r="G67" s="37">
        <v>0</v>
      </c>
      <c r="H67" s="37">
        <f t="shared" ref="H67:H81" si="44">SUM(I67:L67)</f>
        <v>1050</v>
      </c>
      <c r="I67" s="37">
        <v>1050</v>
      </c>
      <c r="J67" s="37">
        <v>0</v>
      </c>
      <c r="K67" s="37">
        <v>0</v>
      </c>
      <c r="L67" s="37">
        <v>0</v>
      </c>
      <c r="M67" s="37">
        <f t="shared" ref="M67:M81" si="45">SUM(N67:Q67)</f>
        <v>204.02</v>
      </c>
      <c r="N67" s="37">
        <v>204.02</v>
      </c>
      <c r="O67" s="37">
        <v>0</v>
      </c>
      <c r="P67" s="37">
        <v>0</v>
      </c>
      <c r="Q67" s="37">
        <v>0</v>
      </c>
      <c r="R67" s="37">
        <f t="shared" ref="R67:R81" si="46">SUM(S67:V67)</f>
        <v>845.98</v>
      </c>
      <c r="S67" s="37">
        <f t="shared" ref="S67:U81" si="47">(E67+I67)-N67</f>
        <v>845.98</v>
      </c>
      <c r="T67" s="37">
        <f t="shared" si="47"/>
        <v>0</v>
      </c>
      <c r="U67" s="37">
        <f t="shared" si="47"/>
        <v>0</v>
      </c>
      <c r="V67" s="37">
        <f t="shared" ref="V67:V81" si="48">L67-Q67</f>
        <v>0</v>
      </c>
      <c r="W67" s="38">
        <f t="shared" si="39"/>
        <v>0.19430476190476192</v>
      </c>
      <c r="X67" s="38">
        <f t="shared" si="40"/>
        <v>0.19430476190476192</v>
      </c>
      <c r="Y67" s="38"/>
      <c r="Z67" s="38"/>
      <c r="AA67" s="38"/>
    </row>
    <row r="68" spans="1:27" ht="19.5" hidden="1" customHeight="1">
      <c r="A68" s="35" t="s">
        <v>48</v>
      </c>
      <c r="B68" s="36" t="s">
        <v>50</v>
      </c>
      <c r="C68" s="37">
        <f t="shared" si="42"/>
        <v>2205</v>
      </c>
      <c r="D68" s="37">
        <f t="shared" si="43"/>
        <v>0</v>
      </c>
      <c r="E68" s="37">
        <v>0</v>
      </c>
      <c r="F68" s="37">
        <v>0</v>
      </c>
      <c r="G68" s="37">
        <v>0</v>
      </c>
      <c r="H68" s="37">
        <f t="shared" si="44"/>
        <v>2205</v>
      </c>
      <c r="I68" s="37">
        <v>1720</v>
      </c>
      <c r="J68" s="37">
        <v>380</v>
      </c>
      <c r="K68" s="37">
        <v>105</v>
      </c>
      <c r="L68" s="37">
        <v>0</v>
      </c>
      <c r="M68" s="37">
        <f t="shared" si="45"/>
        <v>35.825000000000003</v>
      </c>
      <c r="N68" s="37">
        <v>35.825000000000003</v>
      </c>
      <c r="O68" s="37">
        <v>0</v>
      </c>
      <c r="P68" s="37">
        <v>0</v>
      </c>
      <c r="Q68" s="37">
        <v>0</v>
      </c>
      <c r="R68" s="37">
        <f t="shared" si="46"/>
        <v>2169.1750000000002</v>
      </c>
      <c r="S68" s="37">
        <f t="shared" si="47"/>
        <v>1684.175</v>
      </c>
      <c r="T68" s="37">
        <f t="shared" si="47"/>
        <v>380</v>
      </c>
      <c r="U68" s="37">
        <f t="shared" si="47"/>
        <v>105</v>
      </c>
      <c r="V68" s="37">
        <f t="shared" si="48"/>
        <v>0</v>
      </c>
      <c r="W68" s="38">
        <f t="shared" si="39"/>
        <v>1.6247165532879821E-2</v>
      </c>
      <c r="X68" s="38">
        <f t="shared" si="40"/>
        <v>2.0828488372093026E-2</v>
      </c>
      <c r="Y68" s="38">
        <f>O68/(F68+J68)</f>
        <v>0</v>
      </c>
      <c r="Z68" s="38">
        <f>P68/(G68+K68)</f>
        <v>0</v>
      </c>
      <c r="AA68" s="38"/>
    </row>
    <row r="69" spans="1:27" ht="19.5" hidden="1" customHeight="1">
      <c r="A69" s="35" t="s">
        <v>48</v>
      </c>
      <c r="B69" s="36" t="s">
        <v>51</v>
      </c>
      <c r="C69" s="37">
        <f t="shared" si="42"/>
        <v>90</v>
      </c>
      <c r="D69" s="37">
        <f t="shared" si="43"/>
        <v>0</v>
      </c>
      <c r="E69" s="37">
        <v>0</v>
      </c>
      <c r="F69" s="37">
        <v>0</v>
      </c>
      <c r="G69" s="37">
        <v>0</v>
      </c>
      <c r="H69" s="37">
        <f t="shared" si="44"/>
        <v>90</v>
      </c>
      <c r="I69" s="37">
        <v>90</v>
      </c>
      <c r="J69" s="37">
        <v>0</v>
      </c>
      <c r="K69" s="37">
        <v>0</v>
      </c>
      <c r="L69" s="37">
        <v>0</v>
      </c>
      <c r="M69" s="37">
        <f t="shared" si="45"/>
        <v>45</v>
      </c>
      <c r="N69" s="37">
        <v>45</v>
      </c>
      <c r="O69" s="37">
        <v>0</v>
      </c>
      <c r="P69" s="37">
        <v>0</v>
      </c>
      <c r="Q69" s="37">
        <v>0</v>
      </c>
      <c r="R69" s="37">
        <f t="shared" si="46"/>
        <v>45</v>
      </c>
      <c r="S69" s="37">
        <f t="shared" si="47"/>
        <v>45</v>
      </c>
      <c r="T69" s="37">
        <f t="shared" si="47"/>
        <v>0</v>
      </c>
      <c r="U69" s="37">
        <f t="shared" si="47"/>
        <v>0</v>
      </c>
      <c r="V69" s="37">
        <f t="shared" si="48"/>
        <v>0</v>
      </c>
      <c r="W69" s="38">
        <f t="shared" si="39"/>
        <v>0.5</v>
      </c>
      <c r="X69" s="38">
        <f t="shared" si="40"/>
        <v>0.5</v>
      </c>
      <c r="Y69" s="38"/>
      <c r="Z69" s="38"/>
      <c r="AA69" s="38"/>
    </row>
    <row r="70" spans="1:27" ht="24" hidden="1" customHeight="1">
      <c r="A70" s="35" t="s">
        <v>48</v>
      </c>
      <c r="B70" s="36" t="s">
        <v>52</v>
      </c>
      <c r="C70" s="37">
        <f t="shared" si="42"/>
        <v>90</v>
      </c>
      <c r="D70" s="37">
        <f t="shared" si="43"/>
        <v>0</v>
      </c>
      <c r="E70" s="37">
        <v>0</v>
      </c>
      <c r="F70" s="37">
        <v>0</v>
      </c>
      <c r="G70" s="37">
        <v>0</v>
      </c>
      <c r="H70" s="37">
        <f t="shared" si="44"/>
        <v>90</v>
      </c>
      <c r="I70" s="37">
        <v>90</v>
      </c>
      <c r="J70" s="37">
        <v>0</v>
      </c>
      <c r="K70" s="37">
        <v>0</v>
      </c>
      <c r="L70" s="37">
        <v>0</v>
      </c>
      <c r="M70" s="37">
        <f t="shared" si="45"/>
        <v>45</v>
      </c>
      <c r="N70" s="37">
        <v>45</v>
      </c>
      <c r="O70" s="37">
        <v>0</v>
      </c>
      <c r="P70" s="37">
        <v>0</v>
      </c>
      <c r="Q70" s="37">
        <v>0</v>
      </c>
      <c r="R70" s="37">
        <f t="shared" si="46"/>
        <v>45</v>
      </c>
      <c r="S70" s="37">
        <f t="shared" si="47"/>
        <v>45</v>
      </c>
      <c r="T70" s="37">
        <f t="shared" si="47"/>
        <v>0</v>
      </c>
      <c r="U70" s="37">
        <f t="shared" si="47"/>
        <v>0</v>
      </c>
      <c r="V70" s="37">
        <f t="shared" si="48"/>
        <v>0</v>
      </c>
      <c r="W70" s="38">
        <f t="shared" si="39"/>
        <v>0.5</v>
      </c>
      <c r="X70" s="38">
        <f t="shared" si="40"/>
        <v>0.5</v>
      </c>
      <c r="Y70" s="38"/>
      <c r="Z70" s="38"/>
      <c r="AA70" s="38"/>
    </row>
    <row r="71" spans="1:27" ht="25.5" hidden="1" customHeight="1">
      <c r="A71" s="35" t="s">
        <v>48</v>
      </c>
      <c r="B71" s="36" t="s">
        <v>53</v>
      </c>
      <c r="C71" s="37">
        <f t="shared" si="42"/>
        <v>200</v>
      </c>
      <c r="D71" s="37">
        <f t="shared" si="43"/>
        <v>0</v>
      </c>
      <c r="E71" s="37">
        <v>0</v>
      </c>
      <c r="F71" s="37">
        <v>0</v>
      </c>
      <c r="G71" s="37">
        <v>0</v>
      </c>
      <c r="H71" s="37">
        <f t="shared" si="44"/>
        <v>200</v>
      </c>
      <c r="I71" s="37">
        <v>200</v>
      </c>
      <c r="J71" s="37">
        <v>0</v>
      </c>
      <c r="K71" s="37">
        <v>0</v>
      </c>
      <c r="L71" s="37">
        <v>0</v>
      </c>
      <c r="M71" s="37">
        <f t="shared" si="45"/>
        <v>0</v>
      </c>
      <c r="N71" s="37">
        <v>0</v>
      </c>
      <c r="O71" s="37">
        <v>0</v>
      </c>
      <c r="P71" s="37">
        <v>0</v>
      </c>
      <c r="Q71" s="37">
        <v>0</v>
      </c>
      <c r="R71" s="37">
        <f t="shared" si="46"/>
        <v>200</v>
      </c>
      <c r="S71" s="37">
        <f t="shared" si="47"/>
        <v>200</v>
      </c>
      <c r="T71" s="37">
        <f t="shared" si="47"/>
        <v>0</v>
      </c>
      <c r="U71" s="37">
        <f t="shared" si="47"/>
        <v>0</v>
      </c>
      <c r="V71" s="37">
        <f t="shared" si="48"/>
        <v>0</v>
      </c>
      <c r="W71" s="38">
        <f t="shared" si="39"/>
        <v>0</v>
      </c>
      <c r="X71" s="38">
        <f t="shared" si="40"/>
        <v>0</v>
      </c>
      <c r="Y71" s="38"/>
      <c r="Z71" s="38"/>
      <c r="AA71" s="38"/>
    </row>
    <row r="72" spans="1:27" ht="26.25" hidden="1" customHeight="1">
      <c r="A72" s="35" t="s">
        <v>48</v>
      </c>
      <c r="B72" s="36" t="s">
        <v>54</v>
      </c>
      <c r="C72" s="37">
        <f t="shared" si="42"/>
        <v>0</v>
      </c>
      <c r="D72" s="37">
        <f t="shared" si="43"/>
        <v>0</v>
      </c>
      <c r="E72" s="37">
        <v>0</v>
      </c>
      <c r="F72" s="37">
        <v>0</v>
      </c>
      <c r="G72" s="37">
        <v>0</v>
      </c>
      <c r="H72" s="37">
        <f t="shared" si="44"/>
        <v>0</v>
      </c>
      <c r="I72" s="37">
        <v>0</v>
      </c>
      <c r="J72" s="37">
        <v>0</v>
      </c>
      <c r="K72" s="37">
        <v>0</v>
      </c>
      <c r="L72" s="37">
        <v>0</v>
      </c>
      <c r="M72" s="37">
        <f t="shared" si="45"/>
        <v>0</v>
      </c>
      <c r="N72" s="37">
        <v>0</v>
      </c>
      <c r="O72" s="37">
        <v>0</v>
      </c>
      <c r="P72" s="37">
        <v>0</v>
      </c>
      <c r="Q72" s="37">
        <v>0</v>
      </c>
      <c r="R72" s="37">
        <f t="shared" si="46"/>
        <v>0</v>
      </c>
      <c r="S72" s="37">
        <f t="shared" si="47"/>
        <v>0</v>
      </c>
      <c r="T72" s="37">
        <f t="shared" si="47"/>
        <v>0</v>
      </c>
      <c r="U72" s="37">
        <f t="shared" si="47"/>
        <v>0</v>
      </c>
      <c r="V72" s="37">
        <f t="shared" si="48"/>
        <v>0</v>
      </c>
      <c r="W72" s="38"/>
      <c r="X72" s="38"/>
      <c r="Y72" s="38"/>
      <c r="Z72" s="38"/>
      <c r="AA72" s="38"/>
    </row>
    <row r="73" spans="1:27" ht="20.25" hidden="1" customHeight="1">
      <c r="A73" s="35" t="s">
        <v>48</v>
      </c>
      <c r="B73" s="36" t="s">
        <v>55</v>
      </c>
      <c r="C73" s="37">
        <f t="shared" si="42"/>
        <v>240</v>
      </c>
      <c r="D73" s="37">
        <f t="shared" si="43"/>
        <v>0</v>
      </c>
      <c r="E73" s="37">
        <v>0</v>
      </c>
      <c r="F73" s="37">
        <v>0</v>
      </c>
      <c r="G73" s="37">
        <v>0</v>
      </c>
      <c r="H73" s="37">
        <f t="shared" si="44"/>
        <v>240</v>
      </c>
      <c r="I73" s="37">
        <v>220</v>
      </c>
      <c r="J73" s="37">
        <v>0</v>
      </c>
      <c r="K73" s="37">
        <v>20</v>
      </c>
      <c r="L73" s="37">
        <v>0</v>
      </c>
      <c r="M73" s="37">
        <f t="shared" si="45"/>
        <v>100</v>
      </c>
      <c r="N73" s="37">
        <v>100</v>
      </c>
      <c r="O73" s="37">
        <v>0</v>
      </c>
      <c r="P73" s="37">
        <v>0</v>
      </c>
      <c r="Q73" s="37">
        <v>0</v>
      </c>
      <c r="R73" s="37">
        <f t="shared" si="46"/>
        <v>140</v>
      </c>
      <c r="S73" s="37">
        <f t="shared" si="47"/>
        <v>120</v>
      </c>
      <c r="T73" s="37">
        <f t="shared" si="47"/>
        <v>0</v>
      </c>
      <c r="U73" s="37">
        <f t="shared" si="47"/>
        <v>20</v>
      </c>
      <c r="V73" s="37">
        <f t="shared" si="48"/>
        <v>0</v>
      </c>
      <c r="W73" s="38">
        <f t="shared" si="39"/>
        <v>0.41666666666666669</v>
      </c>
      <c r="X73" s="38">
        <f t="shared" si="40"/>
        <v>0.45454545454545453</v>
      </c>
      <c r="Y73" s="38"/>
      <c r="Z73" s="38">
        <f>P73/(G73+K73)</f>
        <v>0</v>
      </c>
      <c r="AA73" s="38"/>
    </row>
    <row r="74" spans="1:27" ht="15.75" hidden="1" customHeight="1">
      <c r="A74" s="35" t="s">
        <v>48</v>
      </c>
      <c r="B74" s="36" t="s">
        <v>56</v>
      </c>
      <c r="C74" s="37">
        <f t="shared" si="42"/>
        <v>676</v>
      </c>
      <c r="D74" s="37">
        <f t="shared" si="43"/>
        <v>0</v>
      </c>
      <c r="E74" s="37">
        <v>0</v>
      </c>
      <c r="F74" s="37">
        <v>0</v>
      </c>
      <c r="G74" s="37">
        <v>0</v>
      </c>
      <c r="H74" s="37">
        <f t="shared" si="44"/>
        <v>676</v>
      </c>
      <c r="I74" s="37">
        <v>666</v>
      </c>
      <c r="J74" s="37">
        <v>0</v>
      </c>
      <c r="K74" s="37">
        <v>10</v>
      </c>
      <c r="L74" s="37">
        <v>0</v>
      </c>
      <c r="M74" s="37">
        <f t="shared" si="45"/>
        <v>82.2</v>
      </c>
      <c r="N74" s="37">
        <v>82.2</v>
      </c>
      <c r="O74" s="37">
        <v>0</v>
      </c>
      <c r="P74" s="37">
        <v>0</v>
      </c>
      <c r="Q74" s="37">
        <v>0</v>
      </c>
      <c r="R74" s="37">
        <f t="shared" si="46"/>
        <v>593.79999999999995</v>
      </c>
      <c r="S74" s="37">
        <f t="shared" si="47"/>
        <v>583.79999999999995</v>
      </c>
      <c r="T74" s="37">
        <f t="shared" si="47"/>
        <v>0</v>
      </c>
      <c r="U74" s="37">
        <f t="shared" si="47"/>
        <v>10</v>
      </c>
      <c r="V74" s="37">
        <f t="shared" si="48"/>
        <v>0</v>
      </c>
      <c r="W74" s="38">
        <f t="shared" si="39"/>
        <v>0.12159763313609467</v>
      </c>
      <c r="X74" s="38">
        <f t="shared" si="40"/>
        <v>0.12342342342342343</v>
      </c>
      <c r="Y74" s="38"/>
      <c r="Z74" s="38">
        <f>P74/(G74+K74)</f>
        <v>0</v>
      </c>
      <c r="AA74" s="38"/>
    </row>
    <row r="75" spans="1:27" ht="15.75" hidden="1" customHeight="1">
      <c r="A75" s="35" t="s">
        <v>48</v>
      </c>
      <c r="B75" s="36" t="s">
        <v>57</v>
      </c>
      <c r="C75" s="37">
        <f t="shared" si="42"/>
        <v>578</v>
      </c>
      <c r="D75" s="37">
        <f t="shared" si="43"/>
        <v>0</v>
      </c>
      <c r="E75" s="37">
        <v>0</v>
      </c>
      <c r="F75" s="37">
        <v>0</v>
      </c>
      <c r="G75" s="37">
        <v>0</v>
      </c>
      <c r="H75" s="37">
        <f t="shared" si="44"/>
        <v>578</v>
      </c>
      <c r="I75" s="37">
        <v>278</v>
      </c>
      <c r="J75" s="37">
        <v>220</v>
      </c>
      <c r="K75" s="37">
        <v>80</v>
      </c>
      <c r="L75" s="37">
        <v>0</v>
      </c>
      <c r="M75" s="37">
        <f t="shared" si="45"/>
        <v>327.68</v>
      </c>
      <c r="N75" s="37">
        <v>238</v>
      </c>
      <c r="O75" s="37">
        <v>60</v>
      </c>
      <c r="P75" s="37">
        <v>29.68</v>
      </c>
      <c r="Q75" s="37">
        <v>0</v>
      </c>
      <c r="R75" s="37">
        <f t="shared" si="46"/>
        <v>250.32</v>
      </c>
      <c r="S75" s="37">
        <f t="shared" si="47"/>
        <v>40</v>
      </c>
      <c r="T75" s="37">
        <f t="shared" si="47"/>
        <v>160</v>
      </c>
      <c r="U75" s="37">
        <f t="shared" si="47"/>
        <v>50.32</v>
      </c>
      <c r="V75" s="37">
        <f t="shared" si="48"/>
        <v>0</v>
      </c>
      <c r="W75" s="38">
        <f t="shared" si="39"/>
        <v>0.56692041522491354</v>
      </c>
      <c r="X75" s="38">
        <f t="shared" si="40"/>
        <v>0.85611510791366907</v>
      </c>
      <c r="Y75" s="38">
        <f>O75/(F75+J75)</f>
        <v>0.27272727272727271</v>
      </c>
      <c r="Z75" s="38">
        <f>P75/(G75+K75)</f>
        <v>0.371</v>
      </c>
      <c r="AA75" s="38"/>
    </row>
    <row r="76" spans="1:27" ht="15.75" hidden="1" customHeight="1">
      <c r="A76" s="35" t="s">
        <v>48</v>
      </c>
      <c r="B76" s="36" t="s">
        <v>58</v>
      </c>
      <c r="C76" s="37">
        <f t="shared" si="42"/>
        <v>300</v>
      </c>
      <c r="D76" s="37">
        <f t="shared" si="43"/>
        <v>0</v>
      </c>
      <c r="E76" s="37">
        <v>0</v>
      </c>
      <c r="F76" s="37">
        <v>0</v>
      </c>
      <c r="G76" s="37">
        <v>0</v>
      </c>
      <c r="H76" s="37">
        <f t="shared" si="44"/>
        <v>300</v>
      </c>
      <c r="I76" s="37">
        <v>300</v>
      </c>
      <c r="J76" s="37">
        <v>0</v>
      </c>
      <c r="K76" s="37">
        <v>0</v>
      </c>
      <c r="L76" s="37">
        <v>0</v>
      </c>
      <c r="M76" s="37">
        <f t="shared" si="45"/>
        <v>0</v>
      </c>
      <c r="N76" s="37">
        <v>0</v>
      </c>
      <c r="O76" s="37">
        <v>0</v>
      </c>
      <c r="P76" s="37">
        <v>0</v>
      </c>
      <c r="Q76" s="37">
        <v>0</v>
      </c>
      <c r="R76" s="37">
        <f t="shared" si="46"/>
        <v>300</v>
      </c>
      <c r="S76" s="37">
        <f t="shared" si="47"/>
        <v>300</v>
      </c>
      <c r="T76" s="37">
        <f t="shared" si="47"/>
        <v>0</v>
      </c>
      <c r="U76" s="37">
        <f t="shared" si="47"/>
        <v>0</v>
      </c>
      <c r="V76" s="37">
        <f t="shared" si="48"/>
        <v>0</v>
      </c>
      <c r="W76" s="38">
        <f t="shared" si="39"/>
        <v>0</v>
      </c>
      <c r="X76" s="38">
        <f t="shared" si="40"/>
        <v>0</v>
      </c>
      <c r="Y76" s="38"/>
      <c r="Z76" s="38"/>
      <c r="AA76" s="38"/>
    </row>
    <row r="77" spans="1:27" ht="15.75" hidden="1" customHeight="1">
      <c r="A77" s="35" t="s">
        <v>48</v>
      </c>
      <c r="B77" s="36" t="s">
        <v>59</v>
      </c>
      <c r="C77" s="37">
        <f t="shared" si="42"/>
        <v>0</v>
      </c>
      <c r="D77" s="37">
        <f t="shared" si="43"/>
        <v>0</v>
      </c>
      <c r="E77" s="37">
        <v>0</v>
      </c>
      <c r="F77" s="37">
        <v>0</v>
      </c>
      <c r="G77" s="37">
        <v>0</v>
      </c>
      <c r="H77" s="37">
        <f t="shared" si="44"/>
        <v>0</v>
      </c>
      <c r="I77" s="37">
        <v>0</v>
      </c>
      <c r="J77" s="37">
        <v>0</v>
      </c>
      <c r="K77" s="37">
        <v>0</v>
      </c>
      <c r="L77" s="37">
        <v>0</v>
      </c>
      <c r="M77" s="37">
        <f t="shared" si="45"/>
        <v>0</v>
      </c>
      <c r="N77" s="37">
        <v>0</v>
      </c>
      <c r="O77" s="37">
        <v>0</v>
      </c>
      <c r="P77" s="37">
        <v>0</v>
      </c>
      <c r="Q77" s="37">
        <v>0</v>
      </c>
      <c r="R77" s="37">
        <f t="shared" si="46"/>
        <v>0</v>
      </c>
      <c r="S77" s="37">
        <f t="shared" si="47"/>
        <v>0</v>
      </c>
      <c r="T77" s="37">
        <f t="shared" si="47"/>
        <v>0</v>
      </c>
      <c r="U77" s="37">
        <f t="shared" si="47"/>
        <v>0</v>
      </c>
      <c r="V77" s="37">
        <f t="shared" si="48"/>
        <v>0</v>
      </c>
      <c r="W77" s="38"/>
      <c r="X77" s="38"/>
      <c r="Y77" s="38"/>
      <c r="Z77" s="38"/>
      <c r="AA77" s="38"/>
    </row>
    <row r="78" spans="1:27" ht="15.75" hidden="1" customHeight="1">
      <c r="A78" s="35" t="s">
        <v>48</v>
      </c>
      <c r="B78" s="36" t="s">
        <v>60</v>
      </c>
      <c r="C78" s="37">
        <f t="shared" si="42"/>
        <v>0</v>
      </c>
      <c r="D78" s="37">
        <f t="shared" si="43"/>
        <v>0</v>
      </c>
      <c r="E78" s="37">
        <v>0</v>
      </c>
      <c r="F78" s="37">
        <v>0</v>
      </c>
      <c r="G78" s="37">
        <v>0</v>
      </c>
      <c r="H78" s="37">
        <f t="shared" si="44"/>
        <v>0</v>
      </c>
      <c r="I78" s="37">
        <v>0</v>
      </c>
      <c r="J78" s="37">
        <v>0</v>
      </c>
      <c r="K78" s="37">
        <v>0</v>
      </c>
      <c r="L78" s="37">
        <v>0</v>
      </c>
      <c r="M78" s="37">
        <f t="shared" si="45"/>
        <v>0</v>
      </c>
      <c r="N78" s="37">
        <v>0</v>
      </c>
      <c r="O78" s="37">
        <v>0</v>
      </c>
      <c r="P78" s="37">
        <v>0</v>
      </c>
      <c r="Q78" s="37">
        <v>0</v>
      </c>
      <c r="R78" s="37">
        <f t="shared" si="46"/>
        <v>0</v>
      </c>
      <c r="S78" s="37">
        <f t="shared" si="47"/>
        <v>0</v>
      </c>
      <c r="T78" s="37">
        <f t="shared" si="47"/>
        <v>0</v>
      </c>
      <c r="U78" s="37">
        <f t="shared" si="47"/>
        <v>0</v>
      </c>
      <c r="V78" s="37">
        <f t="shared" si="48"/>
        <v>0</v>
      </c>
      <c r="W78" s="38"/>
      <c r="X78" s="38"/>
      <c r="Y78" s="38"/>
      <c r="Z78" s="38"/>
      <c r="AA78" s="38"/>
    </row>
    <row r="79" spans="1:27" ht="21" hidden="1">
      <c r="A79" s="35" t="s">
        <v>48</v>
      </c>
      <c r="B79" s="36" t="s">
        <v>61</v>
      </c>
      <c r="C79" s="37">
        <f t="shared" si="42"/>
        <v>31</v>
      </c>
      <c r="D79" s="37">
        <f t="shared" si="43"/>
        <v>0</v>
      </c>
      <c r="E79" s="37">
        <v>0</v>
      </c>
      <c r="F79" s="37">
        <v>0</v>
      </c>
      <c r="G79" s="37">
        <v>0</v>
      </c>
      <c r="H79" s="37">
        <f t="shared" si="44"/>
        <v>31</v>
      </c>
      <c r="I79" s="37">
        <v>31</v>
      </c>
      <c r="J79" s="37">
        <v>0</v>
      </c>
      <c r="K79" s="37">
        <v>0</v>
      </c>
      <c r="L79" s="37">
        <v>0</v>
      </c>
      <c r="M79" s="37">
        <f t="shared" si="45"/>
        <v>0</v>
      </c>
      <c r="N79" s="37">
        <v>0</v>
      </c>
      <c r="O79" s="37">
        <v>0</v>
      </c>
      <c r="P79" s="37">
        <v>0</v>
      </c>
      <c r="Q79" s="37">
        <v>0</v>
      </c>
      <c r="R79" s="37">
        <f t="shared" si="46"/>
        <v>31</v>
      </c>
      <c r="S79" s="37">
        <f t="shared" si="47"/>
        <v>31</v>
      </c>
      <c r="T79" s="37">
        <f t="shared" si="47"/>
        <v>0</v>
      </c>
      <c r="U79" s="37">
        <f t="shared" si="47"/>
        <v>0</v>
      </c>
      <c r="V79" s="37">
        <f t="shared" si="48"/>
        <v>0</v>
      </c>
      <c r="W79" s="38">
        <f t="shared" si="39"/>
        <v>0</v>
      </c>
      <c r="X79" s="38">
        <f t="shared" si="40"/>
        <v>0</v>
      </c>
      <c r="Y79" s="38"/>
      <c r="Z79" s="38"/>
      <c r="AA79" s="38"/>
    </row>
    <row r="80" spans="1:27" ht="18.75" hidden="1" customHeight="1">
      <c r="A80" s="35" t="s">
        <v>48</v>
      </c>
      <c r="B80" s="36" t="s">
        <v>62</v>
      </c>
      <c r="C80" s="37">
        <f t="shared" si="42"/>
        <v>557</v>
      </c>
      <c r="D80" s="37">
        <f t="shared" si="43"/>
        <v>0</v>
      </c>
      <c r="E80" s="37">
        <v>0</v>
      </c>
      <c r="F80" s="37">
        <v>0</v>
      </c>
      <c r="G80" s="37">
        <v>0</v>
      </c>
      <c r="H80" s="37">
        <f t="shared" si="44"/>
        <v>557</v>
      </c>
      <c r="I80" s="37">
        <v>542</v>
      </c>
      <c r="J80" s="37">
        <v>0</v>
      </c>
      <c r="K80" s="37">
        <v>15</v>
      </c>
      <c r="L80" s="37">
        <v>0</v>
      </c>
      <c r="M80" s="37">
        <f t="shared" si="45"/>
        <v>160</v>
      </c>
      <c r="N80" s="37">
        <v>160</v>
      </c>
      <c r="O80" s="37">
        <v>0</v>
      </c>
      <c r="P80" s="37">
        <v>0</v>
      </c>
      <c r="Q80" s="37">
        <v>0</v>
      </c>
      <c r="R80" s="37">
        <f t="shared" si="46"/>
        <v>397</v>
      </c>
      <c r="S80" s="37">
        <f t="shared" si="47"/>
        <v>382</v>
      </c>
      <c r="T80" s="37">
        <f t="shared" si="47"/>
        <v>0</v>
      </c>
      <c r="U80" s="37">
        <f t="shared" si="47"/>
        <v>15</v>
      </c>
      <c r="V80" s="37">
        <f t="shared" si="48"/>
        <v>0</v>
      </c>
      <c r="W80" s="38">
        <f t="shared" si="39"/>
        <v>0.28725314183123879</v>
      </c>
      <c r="X80" s="38">
        <f t="shared" si="40"/>
        <v>0.29520295202952029</v>
      </c>
      <c r="Y80" s="38"/>
      <c r="Z80" s="38">
        <f>P80/(G80+K80)</f>
        <v>0</v>
      </c>
      <c r="AA80" s="38"/>
    </row>
    <row r="81" spans="1:27" ht="22.5" hidden="1" customHeight="1">
      <c r="A81" s="35" t="s">
        <v>48</v>
      </c>
      <c r="B81" s="36" t="s">
        <v>63</v>
      </c>
      <c r="C81" s="37">
        <f t="shared" si="42"/>
        <v>0</v>
      </c>
      <c r="D81" s="37">
        <f t="shared" si="43"/>
        <v>0</v>
      </c>
      <c r="E81" s="37">
        <v>0</v>
      </c>
      <c r="F81" s="37">
        <v>0</v>
      </c>
      <c r="G81" s="37">
        <v>0</v>
      </c>
      <c r="H81" s="37">
        <f t="shared" si="44"/>
        <v>0</v>
      </c>
      <c r="I81" s="37">
        <v>0</v>
      </c>
      <c r="J81" s="37">
        <v>0</v>
      </c>
      <c r="K81" s="37">
        <v>0</v>
      </c>
      <c r="L81" s="37">
        <v>0</v>
      </c>
      <c r="M81" s="37">
        <f t="shared" si="45"/>
        <v>0</v>
      </c>
      <c r="N81" s="37">
        <v>0</v>
      </c>
      <c r="O81" s="37">
        <v>0</v>
      </c>
      <c r="P81" s="37">
        <v>0</v>
      </c>
      <c r="Q81" s="37">
        <v>0</v>
      </c>
      <c r="R81" s="37">
        <f t="shared" si="46"/>
        <v>0</v>
      </c>
      <c r="S81" s="37">
        <f t="shared" si="47"/>
        <v>0</v>
      </c>
      <c r="T81" s="37">
        <f t="shared" si="47"/>
        <v>0</v>
      </c>
      <c r="U81" s="37">
        <f t="shared" si="47"/>
        <v>0</v>
      </c>
      <c r="V81" s="37">
        <f t="shared" si="48"/>
        <v>0</v>
      </c>
      <c r="W81" s="38"/>
      <c r="X81" s="38"/>
      <c r="Y81" s="38"/>
      <c r="Z81" s="38"/>
      <c r="AA81" s="38"/>
    </row>
    <row r="82" spans="1:27" s="12" customFormat="1" ht="15.75" customHeight="1">
      <c r="A82" s="31" t="s">
        <v>68</v>
      </c>
      <c r="B82" s="32" t="s">
        <v>69</v>
      </c>
      <c r="C82" s="33">
        <f>+C83+C84</f>
        <v>56358.65</v>
      </c>
      <c r="D82" s="33">
        <f t="shared" ref="D82:V82" si="49">+D83+D84</f>
        <v>333.6</v>
      </c>
      <c r="E82" s="33">
        <f t="shared" si="49"/>
        <v>333.6</v>
      </c>
      <c r="F82" s="33">
        <f t="shared" si="49"/>
        <v>0</v>
      </c>
      <c r="G82" s="33">
        <f t="shared" si="49"/>
        <v>0</v>
      </c>
      <c r="H82" s="33">
        <f t="shared" si="49"/>
        <v>56025.05</v>
      </c>
      <c r="I82" s="33">
        <f t="shared" si="49"/>
        <v>39224</v>
      </c>
      <c r="J82" s="33">
        <f t="shared" si="49"/>
        <v>0</v>
      </c>
      <c r="K82" s="33">
        <f t="shared" si="49"/>
        <v>95.05</v>
      </c>
      <c r="L82" s="33">
        <f t="shared" si="49"/>
        <v>16706</v>
      </c>
      <c r="M82" s="33">
        <f t="shared" si="49"/>
        <v>16715.252</v>
      </c>
      <c r="N82" s="33">
        <f t="shared" si="49"/>
        <v>8480.9719999999998</v>
      </c>
      <c r="O82" s="33">
        <f t="shared" si="49"/>
        <v>0</v>
      </c>
      <c r="P82" s="33">
        <f t="shared" si="49"/>
        <v>95.28</v>
      </c>
      <c r="Q82" s="33">
        <f t="shared" si="49"/>
        <v>8139</v>
      </c>
      <c r="R82" s="33">
        <f t="shared" si="49"/>
        <v>39643.398000000001</v>
      </c>
      <c r="S82" s="33">
        <f t="shared" si="49"/>
        <v>31076.627999999997</v>
      </c>
      <c r="T82" s="33">
        <f t="shared" si="49"/>
        <v>0</v>
      </c>
      <c r="U82" s="33">
        <f t="shared" si="49"/>
        <v>-0.23000000000000398</v>
      </c>
      <c r="V82" s="33">
        <f t="shared" si="49"/>
        <v>8567</v>
      </c>
      <c r="W82" s="34">
        <f>M82/C82</f>
        <v>0.29658716097706384</v>
      </c>
      <c r="X82" s="34">
        <f>N82/(E82+I82)</f>
        <v>0.21439551438914392</v>
      </c>
      <c r="Y82" s="34"/>
      <c r="Z82" s="34">
        <f>P82/(G82+K82)</f>
        <v>1.0024197790636507</v>
      </c>
      <c r="AA82" s="34">
        <f>Q82/L82</f>
        <v>0.48719023105471088</v>
      </c>
    </row>
    <row r="83" spans="1:27" ht="18.75" customHeight="1">
      <c r="A83" s="35" t="s">
        <v>45</v>
      </c>
      <c r="B83" s="36" t="s">
        <v>46</v>
      </c>
      <c r="C83" s="37">
        <f>+D83+H83</f>
        <v>26924.6</v>
      </c>
      <c r="D83" s="37">
        <f>SUM(E83:G83)</f>
        <v>333.6</v>
      </c>
      <c r="E83" s="37">
        <v>333.6</v>
      </c>
      <c r="F83" s="37">
        <v>0</v>
      </c>
      <c r="G83" s="37">
        <v>0</v>
      </c>
      <c r="H83" s="37">
        <f>SUM(I83:L83)</f>
        <v>26591</v>
      </c>
      <c r="I83" s="37">
        <v>9885</v>
      </c>
      <c r="J83" s="37">
        <v>0</v>
      </c>
      <c r="K83" s="37">
        <v>0</v>
      </c>
      <c r="L83" s="37">
        <v>16706</v>
      </c>
      <c r="M83" s="37">
        <f>SUM(N83:Q83)</f>
        <v>11140</v>
      </c>
      <c r="N83" s="37">
        <v>3001</v>
      </c>
      <c r="O83" s="37">
        <v>0</v>
      </c>
      <c r="P83" s="37">
        <v>0</v>
      </c>
      <c r="Q83" s="37">
        <v>8139</v>
      </c>
      <c r="R83" s="37">
        <f>SUM(S83:V83)</f>
        <v>15784.6</v>
      </c>
      <c r="S83" s="37">
        <f>(E83+I83)-N83</f>
        <v>7217.6</v>
      </c>
      <c r="T83" s="37">
        <f>(F83+J83)-O83</f>
        <v>0</v>
      </c>
      <c r="U83" s="37">
        <f>(G83+K83)-P83</f>
        <v>0</v>
      </c>
      <c r="V83" s="37">
        <f>L83-Q83</f>
        <v>8567</v>
      </c>
      <c r="W83" s="38">
        <f t="shared" ref="W83:W99" si="50">M83/C83</f>
        <v>0.41374802225474105</v>
      </c>
      <c r="X83" s="38">
        <f t="shared" ref="X83:X99" si="51">N83/(E83+I83)</f>
        <v>0.29368015187990526</v>
      </c>
      <c r="Y83" s="38"/>
      <c r="Z83" s="38"/>
      <c r="AA83" s="38">
        <f>Q83/L83</f>
        <v>0.48719023105471088</v>
      </c>
    </row>
    <row r="84" spans="1:27" ht="15.75" customHeight="1">
      <c r="A84" s="35" t="s">
        <v>45</v>
      </c>
      <c r="B84" s="36" t="s">
        <v>47</v>
      </c>
      <c r="C84" s="37">
        <f t="shared" ref="C84:V84" si="52">SUM(C85:C99)</f>
        <v>29434.050000000003</v>
      </c>
      <c r="D84" s="37">
        <f t="shared" si="52"/>
        <v>0</v>
      </c>
      <c r="E84" s="37">
        <f t="shared" si="52"/>
        <v>0</v>
      </c>
      <c r="F84" s="37">
        <f t="shared" si="52"/>
        <v>0</v>
      </c>
      <c r="G84" s="37">
        <f t="shared" si="52"/>
        <v>0</v>
      </c>
      <c r="H84" s="37">
        <f t="shared" si="52"/>
        <v>29434.050000000003</v>
      </c>
      <c r="I84" s="37">
        <f t="shared" si="52"/>
        <v>29339</v>
      </c>
      <c r="J84" s="37">
        <f t="shared" si="52"/>
        <v>0</v>
      </c>
      <c r="K84" s="37">
        <f t="shared" si="52"/>
        <v>95.05</v>
      </c>
      <c r="L84" s="37">
        <f t="shared" si="52"/>
        <v>0</v>
      </c>
      <c r="M84" s="37">
        <f t="shared" si="52"/>
        <v>5575.2520000000004</v>
      </c>
      <c r="N84" s="37">
        <f t="shared" si="52"/>
        <v>5479.9719999999998</v>
      </c>
      <c r="O84" s="37">
        <f t="shared" si="52"/>
        <v>0</v>
      </c>
      <c r="P84" s="37">
        <f t="shared" si="52"/>
        <v>95.28</v>
      </c>
      <c r="Q84" s="37">
        <f t="shared" si="52"/>
        <v>0</v>
      </c>
      <c r="R84" s="37">
        <f t="shared" si="52"/>
        <v>23858.798000000003</v>
      </c>
      <c r="S84" s="37">
        <f t="shared" si="52"/>
        <v>23859.027999999998</v>
      </c>
      <c r="T84" s="37">
        <f t="shared" si="52"/>
        <v>0</v>
      </c>
      <c r="U84" s="37">
        <f t="shared" si="52"/>
        <v>-0.23000000000000398</v>
      </c>
      <c r="V84" s="37">
        <f t="shared" si="52"/>
        <v>0</v>
      </c>
      <c r="W84" s="38">
        <f t="shared" si="50"/>
        <v>0.18941504821796523</v>
      </c>
      <c r="X84" s="38">
        <f t="shared" si="51"/>
        <v>0.1867811445516207</v>
      </c>
      <c r="Y84" s="38"/>
      <c r="Z84" s="38">
        <f>P84/(G84+K84)</f>
        <v>1.0024197790636507</v>
      </c>
      <c r="AA84" s="38"/>
    </row>
    <row r="85" spans="1:27" ht="15.75" hidden="1" customHeight="1">
      <c r="A85" s="35" t="s">
        <v>48</v>
      </c>
      <c r="B85" s="36" t="s">
        <v>49</v>
      </c>
      <c r="C85" s="37">
        <f t="shared" ref="C85:C99" si="53">+D85+H85</f>
        <v>5070</v>
      </c>
      <c r="D85" s="37">
        <f t="shared" ref="D85:D99" si="54">SUM(E85:G85)</f>
        <v>0</v>
      </c>
      <c r="E85" s="37">
        <v>0</v>
      </c>
      <c r="F85" s="37">
        <v>0</v>
      </c>
      <c r="G85" s="37">
        <v>0</v>
      </c>
      <c r="H85" s="37">
        <f t="shared" ref="H85:H99" si="55">SUM(I85:L85)</f>
        <v>5070</v>
      </c>
      <c r="I85" s="37">
        <v>5070</v>
      </c>
      <c r="J85" s="37">
        <v>0</v>
      </c>
      <c r="K85" s="37">
        <v>0</v>
      </c>
      <c r="L85" s="37">
        <v>0</v>
      </c>
      <c r="M85" s="37">
        <f t="shared" ref="M85:M99" si="56">SUM(N85:Q85)</f>
        <v>2454.9920000000002</v>
      </c>
      <c r="N85" s="37">
        <v>2454.9920000000002</v>
      </c>
      <c r="O85" s="37">
        <v>0</v>
      </c>
      <c r="P85" s="37">
        <v>0</v>
      </c>
      <c r="Q85" s="37">
        <v>0</v>
      </c>
      <c r="R85" s="37">
        <f t="shared" ref="R85:R99" si="57">SUM(S85:V85)</f>
        <v>2615.0079999999998</v>
      </c>
      <c r="S85" s="37">
        <f t="shared" ref="S85:U99" si="58">(E85+I85)-N85</f>
        <v>2615.0079999999998</v>
      </c>
      <c r="T85" s="37">
        <f t="shared" si="58"/>
        <v>0</v>
      </c>
      <c r="U85" s="37">
        <f t="shared" si="58"/>
        <v>0</v>
      </c>
      <c r="V85" s="37">
        <f t="shared" ref="V85:V99" si="59">L85-Q85</f>
        <v>0</v>
      </c>
      <c r="W85" s="38">
        <f t="shared" si="50"/>
        <v>0.48421932938856022</v>
      </c>
      <c r="X85" s="38">
        <f t="shared" si="51"/>
        <v>0.48421932938856022</v>
      </c>
      <c r="Y85" s="38"/>
      <c r="Z85" s="38"/>
      <c r="AA85" s="38"/>
    </row>
    <row r="86" spans="1:27" ht="15.75" hidden="1" customHeight="1">
      <c r="A86" s="35" t="s">
        <v>48</v>
      </c>
      <c r="B86" s="36" t="s">
        <v>50</v>
      </c>
      <c r="C86" s="37">
        <f t="shared" si="53"/>
        <v>3600</v>
      </c>
      <c r="D86" s="37">
        <f t="shared" si="54"/>
        <v>0</v>
      </c>
      <c r="E86" s="37">
        <v>0</v>
      </c>
      <c r="F86" s="37">
        <v>0</v>
      </c>
      <c r="G86" s="37">
        <v>0</v>
      </c>
      <c r="H86" s="37">
        <f t="shared" si="55"/>
        <v>3600</v>
      </c>
      <c r="I86" s="37">
        <v>3600</v>
      </c>
      <c r="J86" s="37">
        <v>0</v>
      </c>
      <c r="K86" s="37">
        <v>0</v>
      </c>
      <c r="L86" s="37">
        <v>0</v>
      </c>
      <c r="M86" s="37">
        <f t="shared" si="56"/>
        <v>379.4</v>
      </c>
      <c r="N86" s="37">
        <v>379.4</v>
      </c>
      <c r="O86" s="37">
        <v>0</v>
      </c>
      <c r="P86" s="37">
        <v>0</v>
      </c>
      <c r="Q86" s="37">
        <v>0</v>
      </c>
      <c r="R86" s="37">
        <f t="shared" si="57"/>
        <v>3220.6</v>
      </c>
      <c r="S86" s="37">
        <f t="shared" si="58"/>
        <v>3220.6</v>
      </c>
      <c r="T86" s="37">
        <f t="shared" si="58"/>
        <v>0</v>
      </c>
      <c r="U86" s="37">
        <f t="shared" si="58"/>
        <v>0</v>
      </c>
      <c r="V86" s="37">
        <f t="shared" si="59"/>
        <v>0</v>
      </c>
      <c r="W86" s="38">
        <f t="shared" si="50"/>
        <v>0.10538888888888888</v>
      </c>
      <c r="X86" s="38">
        <f t="shared" si="51"/>
        <v>0.10538888888888888</v>
      </c>
      <c r="Y86" s="38"/>
      <c r="Z86" s="38"/>
      <c r="AA86" s="38"/>
    </row>
    <row r="87" spans="1:27" ht="15.75" hidden="1" customHeight="1">
      <c r="A87" s="35" t="s">
        <v>48</v>
      </c>
      <c r="B87" s="36" t="s">
        <v>51</v>
      </c>
      <c r="C87" s="37">
        <f t="shared" si="53"/>
        <v>450</v>
      </c>
      <c r="D87" s="37">
        <f t="shared" si="54"/>
        <v>0</v>
      </c>
      <c r="E87" s="37">
        <v>0</v>
      </c>
      <c r="F87" s="37">
        <v>0</v>
      </c>
      <c r="G87" s="37">
        <v>0</v>
      </c>
      <c r="H87" s="37">
        <f t="shared" si="55"/>
        <v>450</v>
      </c>
      <c r="I87" s="37">
        <v>450</v>
      </c>
      <c r="J87" s="37">
        <v>0</v>
      </c>
      <c r="K87" s="37">
        <v>0</v>
      </c>
      <c r="L87" s="37">
        <v>0</v>
      </c>
      <c r="M87" s="37">
        <f t="shared" si="56"/>
        <v>65.599999999999994</v>
      </c>
      <c r="N87" s="37">
        <v>65.599999999999994</v>
      </c>
      <c r="O87" s="37">
        <v>0</v>
      </c>
      <c r="P87" s="37">
        <v>0</v>
      </c>
      <c r="Q87" s="37">
        <v>0</v>
      </c>
      <c r="R87" s="37">
        <f t="shared" si="57"/>
        <v>384.4</v>
      </c>
      <c r="S87" s="37">
        <f t="shared" si="58"/>
        <v>384.4</v>
      </c>
      <c r="T87" s="37">
        <f t="shared" si="58"/>
        <v>0</v>
      </c>
      <c r="U87" s="37">
        <f t="shared" si="58"/>
        <v>0</v>
      </c>
      <c r="V87" s="37">
        <f t="shared" si="59"/>
        <v>0</v>
      </c>
      <c r="W87" s="38">
        <f t="shared" si="50"/>
        <v>0.14577777777777776</v>
      </c>
      <c r="X87" s="38">
        <f t="shared" si="51"/>
        <v>0.14577777777777776</v>
      </c>
      <c r="Y87" s="38"/>
      <c r="Z87" s="38"/>
      <c r="AA87" s="38"/>
    </row>
    <row r="88" spans="1:27" ht="24" hidden="1" customHeight="1">
      <c r="A88" s="35" t="s">
        <v>48</v>
      </c>
      <c r="B88" s="36" t="s">
        <v>52</v>
      </c>
      <c r="C88" s="37">
        <f t="shared" si="53"/>
        <v>450</v>
      </c>
      <c r="D88" s="37">
        <f t="shared" si="54"/>
        <v>0</v>
      </c>
      <c r="E88" s="37">
        <v>0</v>
      </c>
      <c r="F88" s="37">
        <v>0</v>
      </c>
      <c r="G88" s="37">
        <v>0</v>
      </c>
      <c r="H88" s="37">
        <f t="shared" si="55"/>
        <v>450</v>
      </c>
      <c r="I88" s="37">
        <v>450</v>
      </c>
      <c r="J88" s="37">
        <v>0</v>
      </c>
      <c r="K88" s="37">
        <v>0</v>
      </c>
      <c r="L88" s="37">
        <v>0</v>
      </c>
      <c r="M88" s="37">
        <f t="shared" si="56"/>
        <v>104.7</v>
      </c>
      <c r="N88" s="37">
        <v>104.7</v>
      </c>
      <c r="O88" s="37">
        <v>0</v>
      </c>
      <c r="P88" s="37">
        <v>0</v>
      </c>
      <c r="Q88" s="37">
        <v>0</v>
      </c>
      <c r="R88" s="37">
        <f t="shared" si="57"/>
        <v>345.3</v>
      </c>
      <c r="S88" s="37">
        <f t="shared" si="58"/>
        <v>345.3</v>
      </c>
      <c r="T88" s="37">
        <f t="shared" si="58"/>
        <v>0</v>
      </c>
      <c r="U88" s="37">
        <f t="shared" si="58"/>
        <v>0</v>
      </c>
      <c r="V88" s="37">
        <f t="shared" si="59"/>
        <v>0</v>
      </c>
      <c r="W88" s="38">
        <f t="shared" si="50"/>
        <v>0.23266666666666666</v>
      </c>
      <c r="X88" s="38">
        <f t="shared" si="51"/>
        <v>0.23266666666666666</v>
      </c>
      <c r="Y88" s="38"/>
      <c r="Z88" s="38"/>
      <c r="AA88" s="38"/>
    </row>
    <row r="89" spans="1:27" ht="25.5" hidden="1" customHeight="1">
      <c r="A89" s="35" t="s">
        <v>48</v>
      </c>
      <c r="B89" s="36" t="s">
        <v>53</v>
      </c>
      <c r="C89" s="37">
        <f t="shared" si="53"/>
        <v>200</v>
      </c>
      <c r="D89" s="37">
        <f t="shared" si="54"/>
        <v>0</v>
      </c>
      <c r="E89" s="37">
        <v>0</v>
      </c>
      <c r="F89" s="37">
        <v>0</v>
      </c>
      <c r="G89" s="37">
        <v>0</v>
      </c>
      <c r="H89" s="37">
        <f t="shared" si="55"/>
        <v>200</v>
      </c>
      <c r="I89" s="37">
        <v>200</v>
      </c>
      <c r="J89" s="37">
        <v>0</v>
      </c>
      <c r="K89" s="37">
        <v>0</v>
      </c>
      <c r="L89" s="37">
        <v>0</v>
      </c>
      <c r="M89" s="37">
        <f t="shared" si="56"/>
        <v>0</v>
      </c>
      <c r="N89" s="37">
        <v>0</v>
      </c>
      <c r="O89" s="37">
        <v>0</v>
      </c>
      <c r="P89" s="37">
        <v>0</v>
      </c>
      <c r="Q89" s="37">
        <v>0</v>
      </c>
      <c r="R89" s="37">
        <f t="shared" si="57"/>
        <v>200</v>
      </c>
      <c r="S89" s="37">
        <f t="shared" si="58"/>
        <v>200</v>
      </c>
      <c r="T89" s="37">
        <f t="shared" si="58"/>
        <v>0</v>
      </c>
      <c r="U89" s="37">
        <f t="shared" si="58"/>
        <v>0</v>
      </c>
      <c r="V89" s="37">
        <f t="shared" si="59"/>
        <v>0</v>
      </c>
      <c r="W89" s="38">
        <f t="shared" si="50"/>
        <v>0</v>
      </c>
      <c r="X89" s="38">
        <f t="shared" si="51"/>
        <v>0</v>
      </c>
      <c r="Y89" s="38"/>
      <c r="Z89" s="38"/>
      <c r="AA89" s="38"/>
    </row>
    <row r="90" spans="1:27" ht="26.25" hidden="1" customHeight="1">
      <c r="A90" s="35" t="s">
        <v>48</v>
      </c>
      <c r="B90" s="36" t="s">
        <v>54</v>
      </c>
      <c r="C90" s="37">
        <f t="shared" si="53"/>
        <v>0</v>
      </c>
      <c r="D90" s="37">
        <f t="shared" si="54"/>
        <v>0</v>
      </c>
      <c r="E90" s="37">
        <v>0</v>
      </c>
      <c r="F90" s="37">
        <v>0</v>
      </c>
      <c r="G90" s="37">
        <v>0</v>
      </c>
      <c r="H90" s="37">
        <f t="shared" si="55"/>
        <v>0</v>
      </c>
      <c r="I90" s="37">
        <v>0</v>
      </c>
      <c r="J90" s="37">
        <v>0</v>
      </c>
      <c r="K90" s="37">
        <v>0</v>
      </c>
      <c r="L90" s="37">
        <v>0</v>
      </c>
      <c r="M90" s="37">
        <f t="shared" si="56"/>
        <v>0</v>
      </c>
      <c r="N90" s="37">
        <v>0</v>
      </c>
      <c r="O90" s="37">
        <v>0</v>
      </c>
      <c r="P90" s="37">
        <v>0</v>
      </c>
      <c r="Q90" s="37">
        <v>0</v>
      </c>
      <c r="R90" s="37">
        <f t="shared" si="57"/>
        <v>0</v>
      </c>
      <c r="S90" s="37">
        <f t="shared" si="58"/>
        <v>0</v>
      </c>
      <c r="T90" s="37">
        <f t="shared" si="58"/>
        <v>0</v>
      </c>
      <c r="U90" s="37">
        <f t="shared" si="58"/>
        <v>0</v>
      </c>
      <c r="V90" s="37">
        <f t="shared" si="59"/>
        <v>0</v>
      </c>
      <c r="W90" s="38"/>
      <c r="X90" s="38"/>
      <c r="Y90" s="38"/>
      <c r="Z90" s="38"/>
      <c r="AA90" s="38"/>
    </row>
    <row r="91" spans="1:27" ht="20.25" hidden="1" customHeight="1">
      <c r="A91" s="35" t="s">
        <v>48</v>
      </c>
      <c r="B91" s="36" t="s">
        <v>55</v>
      </c>
      <c r="C91" s="37">
        <f t="shared" si="53"/>
        <v>601.20000000000005</v>
      </c>
      <c r="D91" s="37">
        <f t="shared" si="54"/>
        <v>0</v>
      </c>
      <c r="E91" s="37">
        <v>0</v>
      </c>
      <c r="F91" s="37">
        <v>0</v>
      </c>
      <c r="G91" s="37">
        <v>0</v>
      </c>
      <c r="H91" s="37">
        <f t="shared" si="55"/>
        <v>601.20000000000005</v>
      </c>
      <c r="I91" s="37">
        <v>600</v>
      </c>
      <c r="J91" s="37">
        <v>0</v>
      </c>
      <c r="K91" s="37">
        <v>1.2</v>
      </c>
      <c r="L91" s="37">
        <v>0</v>
      </c>
      <c r="M91" s="37">
        <f t="shared" si="56"/>
        <v>354.2</v>
      </c>
      <c r="N91" s="37">
        <v>353</v>
      </c>
      <c r="O91" s="37">
        <v>0</v>
      </c>
      <c r="P91" s="37">
        <v>1.2</v>
      </c>
      <c r="Q91" s="37">
        <v>0</v>
      </c>
      <c r="R91" s="37">
        <f t="shared" si="57"/>
        <v>247</v>
      </c>
      <c r="S91" s="37">
        <f t="shared" si="58"/>
        <v>247</v>
      </c>
      <c r="T91" s="37">
        <f t="shared" si="58"/>
        <v>0</v>
      </c>
      <c r="U91" s="37">
        <f t="shared" si="58"/>
        <v>0</v>
      </c>
      <c r="V91" s="37">
        <f t="shared" si="59"/>
        <v>0</v>
      </c>
      <c r="W91" s="38">
        <f t="shared" si="50"/>
        <v>0.58915502328675973</v>
      </c>
      <c r="X91" s="38">
        <f t="shared" si="51"/>
        <v>0.58833333333333337</v>
      </c>
      <c r="Y91" s="38"/>
      <c r="Z91" s="38">
        <f>P91/(G91+K91)</f>
        <v>1</v>
      </c>
      <c r="AA91" s="38"/>
    </row>
    <row r="92" spans="1:27" ht="15.75" hidden="1" customHeight="1">
      <c r="A92" s="35" t="s">
        <v>48</v>
      </c>
      <c r="B92" s="36" t="s">
        <v>56</v>
      </c>
      <c r="C92" s="37">
        <f t="shared" si="53"/>
        <v>1800</v>
      </c>
      <c r="D92" s="37">
        <f t="shared" si="54"/>
        <v>0</v>
      </c>
      <c r="E92" s="37">
        <v>0</v>
      </c>
      <c r="F92" s="37">
        <v>0</v>
      </c>
      <c r="G92" s="37">
        <v>0</v>
      </c>
      <c r="H92" s="37">
        <f t="shared" si="55"/>
        <v>1800</v>
      </c>
      <c r="I92" s="37">
        <v>1800</v>
      </c>
      <c r="J92" s="37">
        <v>0</v>
      </c>
      <c r="K92" s="37">
        <v>0</v>
      </c>
      <c r="L92" s="37">
        <v>0</v>
      </c>
      <c r="M92" s="37">
        <f t="shared" si="56"/>
        <v>951.8</v>
      </c>
      <c r="N92" s="37">
        <v>951.8</v>
      </c>
      <c r="O92" s="37">
        <v>0</v>
      </c>
      <c r="P92" s="37">
        <v>0</v>
      </c>
      <c r="Q92" s="37">
        <v>0</v>
      </c>
      <c r="R92" s="37">
        <f t="shared" si="57"/>
        <v>848.2</v>
      </c>
      <c r="S92" s="37">
        <f t="shared" si="58"/>
        <v>848.2</v>
      </c>
      <c r="T92" s="37">
        <f t="shared" si="58"/>
        <v>0</v>
      </c>
      <c r="U92" s="37">
        <f t="shared" si="58"/>
        <v>0</v>
      </c>
      <c r="V92" s="37">
        <f t="shared" si="59"/>
        <v>0</v>
      </c>
      <c r="W92" s="38">
        <f t="shared" si="50"/>
        <v>0.52877777777777779</v>
      </c>
      <c r="X92" s="38">
        <f t="shared" si="51"/>
        <v>0.52877777777777779</v>
      </c>
      <c r="Y92" s="38"/>
      <c r="Z92" s="38"/>
      <c r="AA92" s="38"/>
    </row>
    <row r="93" spans="1:27" ht="15.75" hidden="1" customHeight="1">
      <c r="A93" s="35" t="s">
        <v>48</v>
      </c>
      <c r="B93" s="36" t="s">
        <v>57</v>
      </c>
      <c r="C93" s="37">
        <f t="shared" si="53"/>
        <v>1038.8499999999999</v>
      </c>
      <c r="D93" s="37">
        <f t="shared" si="54"/>
        <v>0</v>
      </c>
      <c r="E93" s="37">
        <v>0</v>
      </c>
      <c r="F93" s="37">
        <v>0</v>
      </c>
      <c r="G93" s="37">
        <v>0</v>
      </c>
      <c r="H93" s="37">
        <f t="shared" si="55"/>
        <v>1038.8499999999999</v>
      </c>
      <c r="I93" s="37">
        <v>950</v>
      </c>
      <c r="J93" s="37">
        <v>0</v>
      </c>
      <c r="K93" s="37">
        <v>88.85</v>
      </c>
      <c r="L93" s="37">
        <v>0</v>
      </c>
      <c r="M93" s="37">
        <f t="shared" si="56"/>
        <v>649.08000000000004</v>
      </c>
      <c r="N93" s="37">
        <v>560</v>
      </c>
      <c r="O93" s="37">
        <v>0</v>
      </c>
      <c r="P93" s="37">
        <v>89.08</v>
      </c>
      <c r="Q93" s="37">
        <v>0</v>
      </c>
      <c r="R93" s="37">
        <f t="shared" si="57"/>
        <v>389.77</v>
      </c>
      <c r="S93" s="37">
        <f t="shared" si="58"/>
        <v>390</v>
      </c>
      <c r="T93" s="37">
        <f t="shared" si="58"/>
        <v>0</v>
      </c>
      <c r="U93" s="37">
        <f t="shared" si="58"/>
        <v>-0.23000000000000398</v>
      </c>
      <c r="V93" s="37">
        <f t="shared" si="59"/>
        <v>0</v>
      </c>
      <c r="W93" s="38">
        <f t="shared" si="50"/>
        <v>0.6248062761707659</v>
      </c>
      <c r="X93" s="38">
        <f t="shared" si="51"/>
        <v>0.58947368421052626</v>
      </c>
      <c r="Y93" s="38"/>
      <c r="Z93" s="38">
        <f>P93/(G93+K93)</f>
        <v>1.0025886325267306</v>
      </c>
      <c r="AA93" s="38"/>
    </row>
    <row r="94" spans="1:27" ht="15.75" hidden="1" customHeight="1">
      <c r="A94" s="35" t="s">
        <v>48</v>
      </c>
      <c r="B94" s="36" t="s">
        <v>58</v>
      </c>
      <c r="C94" s="37">
        <f t="shared" si="53"/>
        <v>600</v>
      </c>
      <c r="D94" s="37">
        <f t="shared" si="54"/>
        <v>0</v>
      </c>
      <c r="E94" s="37">
        <v>0</v>
      </c>
      <c r="F94" s="37">
        <v>0</v>
      </c>
      <c r="G94" s="37">
        <v>0</v>
      </c>
      <c r="H94" s="37">
        <f t="shared" si="55"/>
        <v>600</v>
      </c>
      <c r="I94" s="37">
        <v>600</v>
      </c>
      <c r="J94" s="37">
        <v>0</v>
      </c>
      <c r="K94" s="37">
        <v>0</v>
      </c>
      <c r="L94" s="37">
        <v>0</v>
      </c>
      <c r="M94" s="37">
        <f t="shared" si="56"/>
        <v>0</v>
      </c>
      <c r="N94" s="37">
        <v>0</v>
      </c>
      <c r="O94" s="37">
        <v>0</v>
      </c>
      <c r="P94" s="37">
        <v>0</v>
      </c>
      <c r="Q94" s="37">
        <v>0</v>
      </c>
      <c r="R94" s="37">
        <f t="shared" si="57"/>
        <v>600</v>
      </c>
      <c r="S94" s="37">
        <f t="shared" si="58"/>
        <v>600</v>
      </c>
      <c r="T94" s="37">
        <f t="shared" si="58"/>
        <v>0</v>
      </c>
      <c r="U94" s="37">
        <f t="shared" si="58"/>
        <v>0</v>
      </c>
      <c r="V94" s="37">
        <f t="shared" si="59"/>
        <v>0</v>
      </c>
      <c r="W94" s="38">
        <f t="shared" si="50"/>
        <v>0</v>
      </c>
      <c r="X94" s="38">
        <f t="shared" si="51"/>
        <v>0</v>
      </c>
      <c r="Y94" s="38"/>
      <c r="Z94" s="38"/>
      <c r="AA94" s="38"/>
    </row>
    <row r="95" spans="1:27" ht="15.75" hidden="1" customHeight="1">
      <c r="A95" s="35" t="s">
        <v>48</v>
      </c>
      <c r="B95" s="36" t="s">
        <v>59</v>
      </c>
      <c r="C95" s="37">
        <f t="shared" si="53"/>
        <v>1300</v>
      </c>
      <c r="D95" s="37">
        <f t="shared" si="54"/>
        <v>0</v>
      </c>
      <c r="E95" s="37">
        <v>0</v>
      </c>
      <c r="F95" s="37">
        <v>0</v>
      </c>
      <c r="G95" s="37">
        <v>0</v>
      </c>
      <c r="H95" s="37">
        <f t="shared" si="55"/>
        <v>1300</v>
      </c>
      <c r="I95" s="37">
        <v>1300</v>
      </c>
      <c r="J95" s="37">
        <v>0</v>
      </c>
      <c r="K95" s="37">
        <v>0</v>
      </c>
      <c r="L95" s="37">
        <v>0</v>
      </c>
      <c r="M95" s="37">
        <f t="shared" si="56"/>
        <v>0</v>
      </c>
      <c r="N95" s="37">
        <v>0</v>
      </c>
      <c r="O95" s="37">
        <v>0</v>
      </c>
      <c r="P95" s="37">
        <v>0</v>
      </c>
      <c r="Q95" s="37">
        <v>0</v>
      </c>
      <c r="R95" s="37">
        <f t="shared" si="57"/>
        <v>1300</v>
      </c>
      <c r="S95" s="37">
        <f t="shared" si="58"/>
        <v>1300</v>
      </c>
      <c r="T95" s="37">
        <f t="shared" si="58"/>
        <v>0</v>
      </c>
      <c r="U95" s="37">
        <f t="shared" si="58"/>
        <v>0</v>
      </c>
      <c r="V95" s="37">
        <f t="shared" si="59"/>
        <v>0</v>
      </c>
      <c r="W95" s="38">
        <f t="shared" si="50"/>
        <v>0</v>
      </c>
      <c r="X95" s="38">
        <f t="shared" si="51"/>
        <v>0</v>
      </c>
      <c r="Y95" s="38"/>
      <c r="Z95" s="38"/>
      <c r="AA95" s="38"/>
    </row>
    <row r="96" spans="1:27" ht="15.75" hidden="1" customHeight="1">
      <c r="A96" s="35" t="s">
        <v>48</v>
      </c>
      <c r="B96" s="36" t="s">
        <v>60</v>
      </c>
      <c r="C96" s="37">
        <f t="shared" si="53"/>
        <v>300</v>
      </c>
      <c r="D96" s="37">
        <f t="shared" si="54"/>
        <v>0</v>
      </c>
      <c r="E96" s="37">
        <v>0</v>
      </c>
      <c r="F96" s="37">
        <v>0</v>
      </c>
      <c r="G96" s="37">
        <v>0</v>
      </c>
      <c r="H96" s="37">
        <f t="shared" si="55"/>
        <v>300</v>
      </c>
      <c r="I96" s="37">
        <v>300</v>
      </c>
      <c r="J96" s="37">
        <v>0</v>
      </c>
      <c r="K96" s="37">
        <v>0</v>
      </c>
      <c r="L96" s="37">
        <v>0</v>
      </c>
      <c r="M96" s="37">
        <f t="shared" si="56"/>
        <v>0</v>
      </c>
      <c r="N96" s="37">
        <v>0</v>
      </c>
      <c r="O96" s="37">
        <v>0</v>
      </c>
      <c r="P96" s="37">
        <v>0</v>
      </c>
      <c r="Q96" s="37">
        <v>0</v>
      </c>
      <c r="R96" s="37">
        <f t="shared" si="57"/>
        <v>300</v>
      </c>
      <c r="S96" s="37">
        <f t="shared" si="58"/>
        <v>300</v>
      </c>
      <c r="T96" s="37">
        <f t="shared" si="58"/>
        <v>0</v>
      </c>
      <c r="U96" s="37">
        <f t="shared" si="58"/>
        <v>0</v>
      </c>
      <c r="V96" s="37">
        <f t="shared" si="59"/>
        <v>0</v>
      </c>
      <c r="W96" s="38">
        <f t="shared" si="50"/>
        <v>0</v>
      </c>
      <c r="X96" s="38">
        <f t="shared" si="51"/>
        <v>0</v>
      </c>
      <c r="Y96" s="38"/>
      <c r="Z96" s="38"/>
      <c r="AA96" s="38"/>
    </row>
    <row r="97" spans="1:27" ht="21" hidden="1">
      <c r="A97" s="35" t="s">
        <v>48</v>
      </c>
      <c r="B97" s="36" t="s">
        <v>61</v>
      </c>
      <c r="C97" s="37">
        <f t="shared" si="53"/>
        <v>279</v>
      </c>
      <c r="D97" s="37">
        <f t="shared" si="54"/>
        <v>0</v>
      </c>
      <c r="E97" s="37">
        <v>0</v>
      </c>
      <c r="F97" s="37">
        <v>0</v>
      </c>
      <c r="G97" s="37">
        <v>0</v>
      </c>
      <c r="H97" s="37">
        <f t="shared" si="55"/>
        <v>279</v>
      </c>
      <c r="I97" s="37">
        <v>279</v>
      </c>
      <c r="J97" s="37">
        <v>0</v>
      </c>
      <c r="K97" s="37">
        <v>0</v>
      </c>
      <c r="L97" s="37">
        <v>0</v>
      </c>
      <c r="M97" s="37">
        <f t="shared" si="56"/>
        <v>154.98000000000002</v>
      </c>
      <c r="N97" s="37">
        <v>154.98000000000002</v>
      </c>
      <c r="O97" s="37">
        <v>0</v>
      </c>
      <c r="P97" s="37">
        <v>0</v>
      </c>
      <c r="Q97" s="37">
        <v>0</v>
      </c>
      <c r="R97" s="37">
        <f t="shared" si="57"/>
        <v>124.01999999999998</v>
      </c>
      <c r="S97" s="37">
        <f t="shared" si="58"/>
        <v>124.01999999999998</v>
      </c>
      <c r="T97" s="37">
        <f t="shared" si="58"/>
        <v>0</v>
      </c>
      <c r="U97" s="37">
        <f t="shared" si="58"/>
        <v>0</v>
      </c>
      <c r="V97" s="37">
        <f t="shared" si="59"/>
        <v>0</v>
      </c>
      <c r="W97" s="38">
        <f t="shared" si="50"/>
        <v>0.55548387096774199</v>
      </c>
      <c r="X97" s="38">
        <f t="shared" si="51"/>
        <v>0.55548387096774199</v>
      </c>
      <c r="Y97" s="38"/>
      <c r="Z97" s="38"/>
      <c r="AA97" s="38"/>
    </row>
    <row r="98" spans="1:27" ht="18.75" hidden="1" customHeight="1">
      <c r="A98" s="35" t="s">
        <v>48</v>
      </c>
      <c r="B98" s="36" t="s">
        <v>62</v>
      </c>
      <c r="C98" s="37">
        <f t="shared" si="53"/>
        <v>1245</v>
      </c>
      <c r="D98" s="37">
        <f t="shared" si="54"/>
        <v>0</v>
      </c>
      <c r="E98" s="37">
        <v>0</v>
      </c>
      <c r="F98" s="37">
        <v>0</v>
      </c>
      <c r="G98" s="37">
        <v>0</v>
      </c>
      <c r="H98" s="37">
        <f t="shared" si="55"/>
        <v>1245</v>
      </c>
      <c r="I98" s="37">
        <v>1240</v>
      </c>
      <c r="J98" s="37">
        <v>0</v>
      </c>
      <c r="K98" s="37">
        <v>5</v>
      </c>
      <c r="L98" s="37">
        <v>0</v>
      </c>
      <c r="M98" s="37">
        <f t="shared" si="56"/>
        <v>255</v>
      </c>
      <c r="N98" s="37">
        <v>250</v>
      </c>
      <c r="O98" s="37">
        <v>0</v>
      </c>
      <c r="P98" s="37">
        <v>5</v>
      </c>
      <c r="Q98" s="37">
        <v>0</v>
      </c>
      <c r="R98" s="37">
        <f t="shared" si="57"/>
        <v>990</v>
      </c>
      <c r="S98" s="37">
        <f t="shared" si="58"/>
        <v>990</v>
      </c>
      <c r="T98" s="37">
        <f t="shared" si="58"/>
        <v>0</v>
      </c>
      <c r="U98" s="37">
        <f t="shared" si="58"/>
        <v>0</v>
      </c>
      <c r="V98" s="37">
        <f t="shared" si="59"/>
        <v>0</v>
      </c>
      <c r="W98" s="38">
        <f t="shared" si="50"/>
        <v>0.20481927710843373</v>
      </c>
      <c r="X98" s="38">
        <f t="shared" si="51"/>
        <v>0.20161290322580644</v>
      </c>
      <c r="Y98" s="38"/>
      <c r="Z98" s="38">
        <f>P98/(G98+K98)</f>
        <v>1</v>
      </c>
      <c r="AA98" s="38"/>
    </row>
    <row r="99" spans="1:27" ht="22.5" hidden="1" customHeight="1">
      <c r="A99" s="35" t="s">
        <v>48</v>
      </c>
      <c r="B99" s="36" t="s">
        <v>63</v>
      </c>
      <c r="C99" s="37">
        <f t="shared" si="53"/>
        <v>12500</v>
      </c>
      <c r="D99" s="37">
        <f t="shared" si="54"/>
        <v>0</v>
      </c>
      <c r="E99" s="37">
        <v>0</v>
      </c>
      <c r="F99" s="37">
        <v>0</v>
      </c>
      <c r="G99" s="37">
        <v>0</v>
      </c>
      <c r="H99" s="37">
        <f t="shared" si="55"/>
        <v>12500</v>
      </c>
      <c r="I99" s="37">
        <v>12500</v>
      </c>
      <c r="J99" s="37">
        <v>0</v>
      </c>
      <c r="K99" s="37">
        <v>0</v>
      </c>
      <c r="L99" s="37">
        <v>0</v>
      </c>
      <c r="M99" s="37">
        <f t="shared" si="56"/>
        <v>205.5</v>
      </c>
      <c r="N99" s="37">
        <v>205.5</v>
      </c>
      <c r="O99" s="37">
        <v>0</v>
      </c>
      <c r="P99" s="37">
        <v>0</v>
      </c>
      <c r="Q99" s="37">
        <v>0</v>
      </c>
      <c r="R99" s="37">
        <f t="shared" si="57"/>
        <v>12294.5</v>
      </c>
      <c r="S99" s="37">
        <f t="shared" si="58"/>
        <v>12294.5</v>
      </c>
      <c r="T99" s="37">
        <f t="shared" si="58"/>
        <v>0</v>
      </c>
      <c r="U99" s="37">
        <f t="shared" si="58"/>
        <v>0</v>
      </c>
      <c r="V99" s="37">
        <f t="shared" si="59"/>
        <v>0</v>
      </c>
      <c r="W99" s="38">
        <f t="shared" si="50"/>
        <v>1.644E-2</v>
      </c>
      <c r="X99" s="38">
        <f t="shared" si="51"/>
        <v>1.644E-2</v>
      </c>
      <c r="Y99" s="38"/>
      <c r="Z99" s="38"/>
      <c r="AA99" s="38"/>
    </row>
    <row r="100" spans="1:27" s="12" customFormat="1" ht="15.75" customHeight="1">
      <c r="A100" s="31" t="s">
        <v>70</v>
      </c>
      <c r="B100" s="32" t="s">
        <v>71</v>
      </c>
      <c r="C100" s="33">
        <f>+C101+C102</f>
        <v>32097</v>
      </c>
      <c r="D100" s="33">
        <f t="shared" ref="D100:V100" si="60">+D101+D102</f>
        <v>79</v>
      </c>
      <c r="E100" s="33">
        <f t="shared" si="60"/>
        <v>79</v>
      </c>
      <c r="F100" s="33">
        <f t="shared" si="60"/>
        <v>0</v>
      </c>
      <c r="G100" s="33">
        <f t="shared" si="60"/>
        <v>0</v>
      </c>
      <c r="H100" s="33">
        <f t="shared" si="60"/>
        <v>32018</v>
      </c>
      <c r="I100" s="33">
        <f t="shared" si="60"/>
        <v>18373</v>
      </c>
      <c r="J100" s="33">
        <f t="shared" si="60"/>
        <v>3050</v>
      </c>
      <c r="K100" s="33">
        <f t="shared" si="60"/>
        <v>0</v>
      </c>
      <c r="L100" s="33">
        <f t="shared" si="60"/>
        <v>10595</v>
      </c>
      <c r="M100" s="33">
        <f t="shared" si="60"/>
        <v>18182.927</v>
      </c>
      <c r="N100" s="33">
        <f t="shared" si="60"/>
        <v>6073.9269999999997</v>
      </c>
      <c r="O100" s="33">
        <f t="shared" si="60"/>
        <v>3050</v>
      </c>
      <c r="P100" s="33">
        <f t="shared" si="60"/>
        <v>0</v>
      </c>
      <c r="Q100" s="33">
        <f t="shared" si="60"/>
        <v>9059</v>
      </c>
      <c r="R100" s="33">
        <f t="shared" si="60"/>
        <v>13914.073</v>
      </c>
      <c r="S100" s="33">
        <f t="shared" si="60"/>
        <v>12378.073</v>
      </c>
      <c r="T100" s="33">
        <f t="shared" si="60"/>
        <v>0</v>
      </c>
      <c r="U100" s="33">
        <f t="shared" si="60"/>
        <v>0</v>
      </c>
      <c r="V100" s="33">
        <f t="shared" si="60"/>
        <v>1536</v>
      </c>
      <c r="W100" s="34">
        <f>M100/C100</f>
        <v>0.56649926784434679</v>
      </c>
      <c r="X100" s="34">
        <f>N100/(E100+I100)</f>
        <v>0.3291744526338608</v>
      </c>
      <c r="Y100" s="34">
        <f>O100/(F100+J100)</f>
        <v>1</v>
      </c>
      <c r="Z100" s="34"/>
      <c r="AA100" s="34">
        <f>Q100/L100</f>
        <v>0.85502595563945261</v>
      </c>
    </row>
    <row r="101" spans="1:27" ht="18.75" customHeight="1">
      <c r="A101" s="35" t="s">
        <v>45</v>
      </c>
      <c r="B101" s="36" t="s">
        <v>46</v>
      </c>
      <c r="C101" s="37">
        <f>+D101+H101</f>
        <v>20774</v>
      </c>
      <c r="D101" s="37">
        <f>SUM(E101:G101)</f>
        <v>79</v>
      </c>
      <c r="E101" s="37">
        <v>79</v>
      </c>
      <c r="F101" s="37">
        <v>0</v>
      </c>
      <c r="G101" s="37">
        <v>0</v>
      </c>
      <c r="H101" s="37">
        <f>SUM(I101:L101)</f>
        <v>20695</v>
      </c>
      <c r="I101" s="37">
        <v>7050</v>
      </c>
      <c r="J101" s="37">
        <v>3050</v>
      </c>
      <c r="K101" s="37">
        <v>0</v>
      </c>
      <c r="L101" s="37">
        <v>10595</v>
      </c>
      <c r="M101" s="37">
        <f>SUM(N101:Q101)</f>
        <v>16948</v>
      </c>
      <c r="N101" s="37">
        <v>4839</v>
      </c>
      <c r="O101" s="37">
        <v>3050</v>
      </c>
      <c r="P101" s="37">
        <v>0</v>
      </c>
      <c r="Q101" s="37">
        <v>9059</v>
      </c>
      <c r="R101" s="37">
        <f>SUM(S101:V101)</f>
        <v>3826</v>
      </c>
      <c r="S101" s="37">
        <f>(E101+I101)-N101</f>
        <v>2290</v>
      </c>
      <c r="T101" s="37">
        <f>(F101+J101)-O101</f>
        <v>0</v>
      </c>
      <c r="U101" s="37">
        <f>(G101+K101)-P101</f>
        <v>0</v>
      </c>
      <c r="V101" s="37">
        <f>L101-Q101</f>
        <v>1536</v>
      </c>
      <c r="W101" s="38">
        <f t="shared" ref="W101:W116" si="61">M101/C101</f>
        <v>0.81582747665350919</v>
      </c>
      <c r="X101" s="38">
        <f t="shared" ref="X101:X116" si="62">N101/(E101+I101)</f>
        <v>0.67877682704446629</v>
      </c>
      <c r="Y101" s="38">
        <f>O101/(F101+J101)</f>
        <v>1</v>
      </c>
      <c r="Z101" s="38"/>
      <c r="AA101" s="38">
        <f>Q101/L101</f>
        <v>0.85502595563945261</v>
      </c>
    </row>
    <row r="102" spans="1:27" ht="15.75" customHeight="1">
      <c r="A102" s="35" t="s">
        <v>45</v>
      </c>
      <c r="B102" s="36" t="s">
        <v>47</v>
      </c>
      <c r="C102" s="37">
        <f t="shared" ref="C102:V102" si="63">SUM(C103:C117)</f>
        <v>11323</v>
      </c>
      <c r="D102" s="37">
        <f t="shared" si="63"/>
        <v>0</v>
      </c>
      <c r="E102" s="37">
        <f t="shared" si="63"/>
        <v>0</v>
      </c>
      <c r="F102" s="37">
        <f t="shared" si="63"/>
        <v>0</v>
      </c>
      <c r="G102" s="37">
        <f t="shared" si="63"/>
        <v>0</v>
      </c>
      <c r="H102" s="37">
        <f t="shared" si="63"/>
        <v>11323</v>
      </c>
      <c r="I102" s="37">
        <f t="shared" si="63"/>
        <v>11323</v>
      </c>
      <c r="J102" s="37">
        <f t="shared" si="63"/>
        <v>0</v>
      </c>
      <c r="K102" s="37">
        <f t="shared" si="63"/>
        <v>0</v>
      </c>
      <c r="L102" s="37">
        <f t="shared" si="63"/>
        <v>0</v>
      </c>
      <c r="M102" s="37">
        <f t="shared" si="63"/>
        <v>1234.9270000000001</v>
      </c>
      <c r="N102" s="37">
        <f t="shared" si="63"/>
        <v>1234.9270000000001</v>
      </c>
      <c r="O102" s="37">
        <f t="shared" si="63"/>
        <v>0</v>
      </c>
      <c r="P102" s="37">
        <f t="shared" si="63"/>
        <v>0</v>
      </c>
      <c r="Q102" s="37">
        <f t="shared" si="63"/>
        <v>0</v>
      </c>
      <c r="R102" s="37">
        <f t="shared" si="63"/>
        <v>10088.073</v>
      </c>
      <c r="S102" s="37">
        <f t="shared" si="63"/>
        <v>10088.073</v>
      </c>
      <c r="T102" s="37">
        <f t="shared" si="63"/>
        <v>0</v>
      </c>
      <c r="U102" s="37">
        <f t="shared" si="63"/>
        <v>0</v>
      </c>
      <c r="V102" s="37">
        <f t="shared" si="63"/>
        <v>0</v>
      </c>
      <c r="W102" s="38">
        <f t="shared" si="61"/>
        <v>0.10906358738850129</v>
      </c>
      <c r="X102" s="38">
        <f t="shared" si="62"/>
        <v>0.10906358738850129</v>
      </c>
      <c r="Y102" s="38"/>
      <c r="Z102" s="38"/>
      <c r="AA102" s="38"/>
    </row>
    <row r="103" spans="1:27" ht="15.75" hidden="1" customHeight="1">
      <c r="A103" s="35" t="s">
        <v>48</v>
      </c>
      <c r="B103" s="36" t="s">
        <v>49</v>
      </c>
      <c r="C103" s="37">
        <f t="shared" ref="C103:C117" si="64">+D103+H103</f>
        <v>3700</v>
      </c>
      <c r="D103" s="37">
        <f t="shared" ref="D103:D117" si="65">SUM(E103:G103)</f>
        <v>0</v>
      </c>
      <c r="E103" s="37">
        <v>0</v>
      </c>
      <c r="F103" s="37">
        <v>0</v>
      </c>
      <c r="G103" s="37">
        <v>0</v>
      </c>
      <c r="H103" s="37">
        <f t="shared" ref="H103:H117" si="66">SUM(I103:L103)</f>
        <v>3700</v>
      </c>
      <c r="I103" s="37">
        <v>3700</v>
      </c>
      <c r="J103" s="37">
        <v>0</v>
      </c>
      <c r="K103" s="37">
        <v>0</v>
      </c>
      <c r="L103" s="37">
        <v>0</v>
      </c>
      <c r="M103" s="37">
        <f t="shared" ref="M103:M117" si="67">SUM(N103:Q103)</f>
        <v>805.18299999999999</v>
      </c>
      <c r="N103" s="37">
        <v>805.18299999999999</v>
      </c>
      <c r="O103" s="37">
        <v>0</v>
      </c>
      <c r="P103" s="37">
        <v>0</v>
      </c>
      <c r="Q103" s="37">
        <v>0</v>
      </c>
      <c r="R103" s="37">
        <f t="shared" ref="R103:R117" si="68">SUM(S103:V103)</f>
        <v>2894.817</v>
      </c>
      <c r="S103" s="37">
        <f t="shared" ref="S103:U117" si="69">(E103+I103)-N103</f>
        <v>2894.817</v>
      </c>
      <c r="T103" s="37">
        <f t="shared" si="69"/>
        <v>0</v>
      </c>
      <c r="U103" s="37">
        <f t="shared" si="69"/>
        <v>0</v>
      </c>
      <c r="V103" s="37">
        <f t="shared" ref="V103:V117" si="70">L103-Q103</f>
        <v>0</v>
      </c>
      <c r="W103" s="38">
        <f t="shared" si="61"/>
        <v>0.21761702702702704</v>
      </c>
      <c r="X103" s="38">
        <f t="shared" si="62"/>
        <v>0.21761702702702704</v>
      </c>
      <c r="Y103" s="38"/>
      <c r="Z103" s="38"/>
      <c r="AA103" s="38"/>
    </row>
    <row r="104" spans="1:27" ht="15.75" hidden="1" customHeight="1">
      <c r="A104" s="35" t="s">
        <v>48</v>
      </c>
      <c r="B104" s="36" t="s">
        <v>50</v>
      </c>
      <c r="C104" s="37">
        <f t="shared" si="64"/>
        <v>2580</v>
      </c>
      <c r="D104" s="37">
        <f t="shared" si="65"/>
        <v>0</v>
      </c>
      <c r="E104" s="37">
        <v>0</v>
      </c>
      <c r="F104" s="37">
        <v>0</v>
      </c>
      <c r="G104" s="37">
        <v>0</v>
      </c>
      <c r="H104" s="37">
        <f t="shared" si="66"/>
        <v>2580</v>
      </c>
      <c r="I104" s="37">
        <v>2580</v>
      </c>
      <c r="J104" s="37">
        <v>0</v>
      </c>
      <c r="K104" s="37">
        <v>0</v>
      </c>
      <c r="L104" s="37">
        <v>0</v>
      </c>
      <c r="M104" s="37">
        <f t="shared" si="67"/>
        <v>73.2</v>
      </c>
      <c r="N104" s="37">
        <v>73.2</v>
      </c>
      <c r="O104" s="37">
        <v>0</v>
      </c>
      <c r="P104" s="37">
        <v>0</v>
      </c>
      <c r="Q104" s="37">
        <v>0</v>
      </c>
      <c r="R104" s="37">
        <f t="shared" si="68"/>
        <v>2506.8000000000002</v>
      </c>
      <c r="S104" s="37">
        <f t="shared" si="69"/>
        <v>2506.8000000000002</v>
      </c>
      <c r="T104" s="37">
        <f t="shared" si="69"/>
        <v>0</v>
      </c>
      <c r="U104" s="37">
        <f t="shared" si="69"/>
        <v>0</v>
      </c>
      <c r="V104" s="37">
        <f t="shared" si="70"/>
        <v>0</v>
      </c>
      <c r="W104" s="38">
        <f t="shared" si="61"/>
        <v>2.8372093023255815E-2</v>
      </c>
      <c r="X104" s="38">
        <f t="shared" si="62"/>
        <v>2.8372093023255815E-2</v>
      </c>
      <c r="Y104" s="38"/>
      <c r="Z104" s="38"/>
      <c r="AA104" s="38"/>
    </row>
    <row r="105" spans="1:27" ht="15.75" hidden="1" customHeight="1">
      <c r="A105" s="35" t="s">
        <v>48</v>
      </c>
      <c r="B105" s="36" t="s">
        <v>51</v>
      </c>
      <c r="C105" s="37">
        <f t="shared" si="64"/>
        <v>330</v>
      </c>
      <c r="D105" s="37">
        <f t="shared" si="65"/>
        <v>0</v>
      </c>
      <c r="E105" s="37">
        <v>0</v>
      </c>
      <c r="F105" s="37">
        <v>0</v>
      </c>
      <c r="G105" s="37">
        <v>0</v>
      </c>
      <c r="H105" s="37">
        <f t="shared" si="66"/>
        <v>330</v>
      </c>
      <c r="I105" s="37">
        <v>330</v>
      </c>
      <c r="J105" s="37">
        <v>0</v>
      </c>
      <c r="K105" s="37">
        <v>0</v>
      </c>
      <c r="L105" s="37">
        <v>0</v>
      </c>
      <c r="M105" s="37">
        <f t="shared" si="67"/>
        <v>0</v>
      </c>
      <c r="N105" s="37">
        <v>0</v>
      </c>
      <c r="O105" s="37">
        <v>0</v>
      </c>
      <c r="P105" s="37">
        <v>0</v>
      </c>
      <c r="Q105" s="37">
        <v>0</v>
      </c>
      <c r="R105" s="37">
        <f t="shared" si="68"/>
        <v>330</v>
      </c>
      <c r="S105" s="37">
        <f t="shared" si="69"/>
        <v>330</v>
      </c>
      <c r="T105" s="37">
        <f t="shared" si="69"/>
        <v>0</v>
      </c>
      <c r="U105" s="37">
        <f t="shared" si="69"/>
        <v>0</v>
      </c>
      <c r="V105" s="37">
        <f t="shared" si="70"/>
        <v>0</v>
      </c>
      <c r="W105" s="38">
        <f t="shared" si="61"/>
        <v>0</v>
      </c>
      <c r="X105" s="38">
        <f t="shared" si="62"/>
        <v>0</v>
      </c>
      <c r="Y105" s="38"/>
      <c r="Z105" s="38"/>
      <c r="AA105" s="38"/>
    </row>
    <row r="106" spans="1:27" ht="24" hidden="1" customHeight="1">
      <c r="A106" s="35" t="s">
        <v>48</v>
      </c>
      <c r="B106" s="36" t="s">
        <v>52</v>
      </c>
      <c r="C106" s="37">
        <f t="shared" si="64"/>
        <v>330</v>
      </c>
      <c r="D106" s="37">
        <f t="shared" si="65"/>
        <v>0</v>
      </c>
      <c r="E106" s="37">
        <v>0</v>
      </c>
      <c r="F106" s="37">
        <v>0</v>
      </c>
      <c r="G106" s="37">
        <v>0</v>
      </c>
      <c r="H106" s="37">
        <f t="shared" si="66"/>
        <v>330</v>
      </c>
      <c r="I106" s="37">
        <v>330</v>
      </c>
      <c r="J106" s="37">
        <v>0</v>
      </c>
      <c r="K106" s="37">
        <v>0</v>
      </c>
      <c r="L106" s="37">
        <v>0</v>
      </c>
      <c r="M106" s="37">
        <f t="shared" si="67"/>
        <v>0</v>
      </c>
      <c r="N106" s="37">
        <v>0</v>
      </c>
      <c r="O106" s="37">
        <v>0</v>
      </c>
      <c r="P106" s="37">
        <v>0</v>
      </c>
      <c r="Q106" s="37">
        <v>0</v>
      </c>
      <c r="R106" s="37">
        <f t="shared" si="68"/>
        <v>330</v>
      </c>
      <c r="S106" s="37">
        <f t="shared" si="69"/>
        <v>330</v>
      </c>
      <c r="T106" s="37">
        <f t="shared" si="69"/>
        <v>0</v>
      </c>
      <c r="U106" s="37">
        <f t="shared" si="69"/>
        <v>0</v>
      </c>
      <c r="V106" s="37">
        <f t="shared" si="70"/>
        <v>0</v>
      </c>
      <c r="W106" s="38">
        <f t="shared" si="61"/>
        <v>0</v>
      </c>
      <c r="X106" s="38">
        <f t="shared" si="62"/>
        <v>0</v>
      </c>
      <c r="Y106" s="38"/>
      <c r="Z106" s="38"/>
      <c r="AA106" s="38"/>
    </row>
    <row r="107" spans="1:27" ht="25.5" hidden="1" customHeight="1">
      <c r="A107" s="35" t="s">
        <v>48</v>
      </c>
      <c r="B107" s="36" t="s">
        <v>53</v>
      </c>
      <c r="C107" s="37">
        <f t="shared" si="64"/>
        <v>200</v>
      </c>
      <c r="D107" s="37">
        <f t="shared" si="65"/>
        <v>0</v>
      </c>
      <c r="E107" s="37">
        <v>0</v>
      </c>
      <c r="F107" s="37">
        <v>0</v>
      </c>
      <c r="G107" s="37">
        <v>0</v>
      </c>
      <c r="H107" s="37">
        <f t="shared" si="66"/>
        <v>200</v>
      </c>
      <c r="I107" s="37">
        <v>200</v>
      </c>
      <c r="J107" s="37">
        <v>0</v>
      </c>
      <c r="K107" s="37">
        <v>0</v>
      </c>
      <c r="L107" s="37">
        <v>0</v>
      </c>
      <c r="M107" s="37">
        <f t="shared" si="67"/>
        <v>0</v>
      </c>
      <c r="N107" s="37">
        <v>0</v>
      </c>
      <c r="O107" s="37">
        <v>0</v>
      </c>
      <c r="P107" s="37">
        <v>0</v>
      </c>
      <c r="Q107" s="37">
        <v>0</v>
      </c>
      <c r="R107" s="37">
        <f t="shared" si="68"/>
        <v>200</v>
      </c>
      <c r="S107" s="37">
        <f t="shared" si="69"/>
        <v>200</v>
      </c>
      <c r="T107" s="37">
        <f t="shared" si="69"/>
        <v>0</v>
      </c>
      <c r="U107" s="37">
        <f t="shared" si="69"/>
        <v>0</v>
      </c>
      <c r="V107" s="37">
        <f t="shared" si="70"/>
        <v>0</v>
      </c>
      <c r="W107" s="38">
        <f t="shared" si="61"/>
        <v>0</v>
      </c>
      <c r="X107" s="38">
        <f t="shared" si="62"/>
        <v>0</v>
      </c>
      <c r="Y107" s="38"/>
      <c r="Z107" s="38"/>
      <c r="AA107" s="38"/>
    </row>
    <row r="108" spans="1:27" ht="26.25" hidden="1" customHeight="1">
      <c r="A108" s="35" t="s">
        <v>48</v>
      </c>
      <c r="B108" s="36" t="s">
        <v>54</v>
      </c>
      <c r="C108" s="37">
        <f t="shared" si="64"/>
        <v>0</v>
      </c>
      <c r="D108" s="37">
        <f t="shared" si="65"/>
        <v>0</v>
      </c>
      <c r="E108" s="37">
        <v>0</v>
      </c>
      <c r="F108" s="37">
        <v>0</v>
      </c>
      <c r="G108" s="37">
        <v>0</v>
      </c>
      <c r="H108" s="37">
        <f t="shared" si="66"/>
        <v>0</v>
      </c>
      <c r="I108" s="37">
        <v>0</v>
      </c>
      <c r="J108" s="37">
        <v>0</v>
      </c>
      <c r="K108" s="37">
        <v>0</v>
      </c>
      <c r="L108" s="37">
        <v>0</v>
      </c>
      <c r="M108" s="37">
        <f t="shared" si="67"/>
        <v>0</v>
      </c>
      <c r="N108" s="37">
        <v>0</v>
      </c>
      <c r="O108" s="37">
        <v>0</v>
      </c>
      <c r="P108" s="37">
        <v>0</v>
      </c>
      <c r="Q108" s="37">
        <v>0</v>
      </c>
      <c r="R108" s="37">
        <f t="shared" si="68"/>
        <v>0</v>
      </c>
      <c r="S108" s="37">
        <f t="shared" si="69"/>
        <v>0</v>
      </c>
      <c r="T108" s="37">
        <f t="shared" si="69"/>
        <v>0</v>
      </c>
      <c r="U108" s="37">
        <f t="shared" si="69"/>
        <v>0</v>
      </c>
      <c r="V108" s="37">
        <f t="shared" si="70"/>
        <v>0</v>
      </c>
      <c r="W108" s="38"/>
      <c r="X108" s="38"/>
      <c r="Y108" s="38"/>
      <c r="Z108" s="38"/>
      <c r="AA108" s="38"/>
    </row>
    <row r="109" spans="1:27" ht="20.25" hidden="1" customHeight="1">
      <c r="A109" s="35" t="s">
        <v>48</v>
      </c>
      <c r="B109" s="36" t="s">
        <v>55</v>
      </c>
      <c r="C109" s="37">
        <f t="shared" si="64"/>
        <v>440</v>
      </c>
      <c r="D109" s="37">
        <f t="shared" si="65"/>
        <v>0</v>
      </c>
      <c r="E109" s="37">
        <v>0</v>
      </c>
      <c r="F109" s="37">
        <v>0</v>
      </c>
      <c r="G109" s="37">
        <v>0</v>
      </c>
      <c r="H109" s="37">
        <f t="shared" si="66"/>
        <v>440</v>
      </c>
      <c r="I109" s="37">
        <v>440</v>
      </c>
      <c r="J109" s="37">
        <v>0</v>
      </c>
      <c r="K109" s="37">
        <v>0</v>
      </c>
      <c r="L109" s="37">
        <v>0</v>
      </c>
      <c r="M109" s="37">
        <f t="shared" si="67"/>
        <v>79.134</v>
      </c>
      <c r="N109" s="37">
        <v>79.134</v>
      </c>
      <c r="O109" s="37">
        <v>0</v>
      </c>
      <c r="P109" s="37">
        <v>0</v>
      </c>
      <c r="Q109" s="37">
        <v>0</v>
      </c>
      <c r="R109" s="37">
        <f t="shared" si="68"/>
        <v>360.86599999999999</v>
      </c>
      <c r="S109" s="37">
        <f t="shared" si="69"/>
        <v>360.86599999999999</v>
      </c>
      <c r="T109" s="37">
        <f t="shared" si="69"/>
        <v>0</v>
      </c>
      <c r="U109" s="37">
        <f t="shared" si="69"/>
        <v>0</v>
      </c>
      <c r="V109" s="37">
        <f t="shared" si="70"/>
        <v>0</v>
      </c>
      <c r="W109" s="38">
        <f t="shared" si="61"/>
        <v>0.17985000000000001</v>
      </c>
      <c r="X109" s="38">
        <f t="shared" si="62"/>
        <v>0.17985000000000001</v>
      </c>
      <c r="Y109" s="38"/>
      <c r="Z109" s="38"/>
      <c r="AA109" s="38"/>
    </row>
    <row r="110" spans="1:27" ht="15.75" hidden="1" customHeight="1">
      <c r="A110" s="35" t="s">
        <v>48</v>
      </c>
      <c r="B110" s="36" t="s">
        <v>56</v>
      </c>
      <c r="C110" s="37">
        <f t="shared" si="64"/>
        <v>1320</v>
      </c>
      <c r="D110" s="37">
        <f t="shared" si="65"/>
        <v>0</v>
      </c>
      <c r="E110" s="37">
        <v>0</v>
      </c>
      <c r="F110" s="37">
        <v>0</v>
      </c>
      <c r="G110" s="37">
        <v>0</v>
      </c>
      <c r="H110" s="37">
        <f t="shared" si="66"/>
        <v>1320</v>
      </c>
      <c r="I110" s="37">
        <v>1320</v>
      </c>
      <c r="J110" s="37">
        <v>0</v>
      </c>
      <c r="K110" s="37">
        <v>0</v>
      </c>
      <c r="L110" s="37">
        <v>0</v>
      </c>
      <c r="M110" s="37">
        <f t="shared" si="67"/>
        <v>163.41</v>
      </c>
      <c r="N110" s="37">
        <v>163.41</v>
      </c>
      <c r="O110" s="37">
        <v>0</v>
      </c>
      <c r="P110" s="37">
        <v>0</v>
      </c>
      <c r="Q110" s="37">
        <v>0</v>
      </c>
      <c r="R110" s="37">
        <f t="shared" si="68"/>
        <v>1156.5899999999999</v>
      </c>
      <c r="S110" s="37">
        <f t="shared" si="69"/>
        <v>1156.5899999999999</v>
      </c>
      <c r="T110" s="37">
        <f t="shared" si="69"/>
        <v>0</v>
      </c>
      <c r="U110" s="37">
        <f t="shared" si="69"/>
        <v>0</v>
      </c>
      <c r="V110" s="37">
        <f t="shared" si="70"/>
        <v>0</v>
      </c>
      <c r="W110" s="38">
        <f t="shared" si="61"/>
        <v>0.12379545454545454</v>
      </c>
      <c r="X110" s="38">
        <f t="shared" si="62"/>
        <v>0.12379545454545454</v>
      </c>
      <c r="Y110" s="38"/>
      <c r="Z110" s="38"/>
      <c r="AA110" s="38"/>
    </row>
    <row r="111" spans="1:27" ht="15.75" hidden="1" customHeight="1">
      <c r="A111" s="35" t="s">
        <v>48</v>
      </c>
      <c r="B111" s="36" t="s">
        <v>57</v>
      </c>
      <c r="C111" s="37">
        <f t="shared" si="64"/>
        <v>726</v>
      </c>
      <c r="D111" s="37">
        <f t="shared" si="65"/>
        <v>0</v>
      </c>
      <c r="E111" s="37">
        <v>0</v>
      </c>
      <c r="F111" s="37">
        <v>0</v>
      </c>
      <c r="G111" s="37">
        <v>0</v>
      </c>
      <c r="H111" s="37">
        <f t="shared" si="66"/>
        <v>726</v>
      </c>
      <c r="I111" s="37">
        <v>726</v>
      </c>
      <c r="J111" s="37">
        <v>0</v>
      </c>
      <c r="K111" s="37">
        <v>0</v>
      </c>
      <c r="L111" s="37">
        <v>0</v>
      </c>
      <c r="M111" s="37">
        <f t="shared" si="67"/>
        <v>40</v>
      </c>
      <c r="N111" s="37">
        <v>40</v>
      </c>
      <c r="O111" s="37">
        <v>0</v>
      </c>
      <c r="P111" s="37">
        <v>0</v>
      </c>
      <c r="Q111" s="37">
        <v>0</v>
      </c>
      <c r="R111" s="37">
        <f t="shared" si="68"/>
        <v>686</v>
      </c>
      <c r="S111" s="37">
        <f t="shared" si="69"/>
        <v>686</v>
      </c>
      <c r="T111" s="37">
        <f t="shared" si="69"/>
        <v>0</v>
      </c>
      <c r="U111" s="37">
        <f t="shared" si="69"/>
        <v>0</v>
      </c>
      <c r="V111" s="37">
        <f t="shared" si="70"/>
        <v>0</v>
      </c>
      <c r="W111" s="38">
        <f t="shared" si="61"/>
        <v>5.5096418732782371E-2</v>
      </c>
      <c r="X111" s="38">
        <f t="shared" si="62"/>
        <v>5.5096418732782371E-2</v>
      </c>
      <c r="Y111" s="38"/>
      <c r="Z111" s="38"/>
      <c r="AA111" s="38"/>
    </row>
    <row r="112" spans="1:27" ht="15.75" hidden="1" customHeight="1">
      <c r="A112" s="35" t="s">
        <v>48</v>
      </c>
      <c r="B112" s="36" t="s">
        <v>58</v>
      </c>
      <c r="C112" s="37">
        <f t="shared" si="64"/>
        <v>300</v>
      </c>
      <c r="D112" s="37">
        <f t="shared" si="65"/>
        <v>0</v>
      </c>
      <c r="E112" s="37">
        <v>0</v>
      </c>
      <c r="F112" s="37">
        <v>0</v>
      </c>
      <c r="G112" s="37">
        <v>0</v>
      </c>
      <c r="H112" s="37">
        <f t="shared" si="66"/>
        <v>300</v>
      </c>
      <c r="I112" s="37">
        <v>300</v>
      </c>
      <c r="J112" s="37">
        <v>0</v>
      </c>
      <c r="K112" s="37">
        <v>0</v>
      </c>
      <c r="L112" s="37">
        <v>0</v>
      </c>
      <c r="M112" s="37">
        <f t="shared" si="67"/>
        <v>0</v>
      </c>
      <c r="N112" s="37">
        <v>0</v>
      </c>
      <c r="O112" s="37">
        <v>0</v>
      </c>
      <c r="P112" s="37">
        <v>0</v>
      </c>
      <c r="Q112" s="37">
        <v>0</v>
      </c>
      <c r="R112" s="37">
        <f t="shared" si="68"/>
        <v>300</v>
      </c>
      <c r="S112" s="37">
        <f t="shared" si="69"/>
        <v>300</v>
      </c>
      <c r="T112" s="37">
        <f t="shared" si="69"/>
        <v>0</v>
      </c>
      <c r="U112" s="37">
        <f t="shared" si="69"/>
        <v>0</v>
      </c>
      <c r="V112" s="37">
        <f t="shared" si="70"/>
        <v>0</v>
      </c>
      <c r="W112" s="38">
        <f t="shared" si="61"/>
        <v>0</v>
      </c>
      <c r="X112" s="38">
        <f t="shared" si="62"/>
        <v>0</v>
      </c>
      <c r="Y112" s="38"/>
      <c r="Z112" s="38"/>
      <c r="AA112" s="38"/>
    </row>
    <row r="113" spans="1:27" ht="15.75" hidden="1" customHeight="1">
      <c r="A113" s="35" t="s">
        <v>48</v>
      </c>
      <c r="B113" s="36" t="s">
        <v>59</v>
      </c>
      <c r="C113" s="37">
        <f t="shared" si="64"/>
        <v>300</v>
      </c>
      <c r="D113" s="37">
        <f t="shared" si="65"/>
        <v>0</v>
      </c>
      <c r="E113" s="37">
        <v>0</v>
      </c>
      <c r="F113" s="37">
        <v>0</v>
      </c>
      <c r="G113" s="37">
        <v>0</v>
      </c>
      <c r="H113" s="37">
        <f t="shared" si="66"/>
        <v>300</v>
      </c>
      <c r="I113" s="37">
        <v>300</v>
      </c>
      <c r="J113" s="37">
        <v>0</v>
      </c>
      <c r="K113" s="37">
        <v>0</v>
      </c>
      <c r="L113" s="37">
        <v>0</v>
      </c>
      <c r="M113" s="37">
        <f t="shared" si="67"/>
        <v>0</v>
      </c>
      <c r="N113" s="37">
        <v>0</v>
      </c>
      <c r="O113" s="37">
        <v>0</v>
      </c>
      <c r="P113" s="37">
        <v>0</v>
      </c>
      <c r="Q113" s="37">
        <v>0</v>
      </c>
      <c r="R113" s="37">
        <f t="shared" si="68"/>
        <v>300</v>
      </c>
      <c r="S113" s="37">
        <f t="shared" si="69"/>
        <v>300</v>
      </c>
      <c r="T113" s="37">
        <f t="shared" si="69"/>
        <v>0</v>
      </c>
      <c r="U113" s="37">
        <f t="shared" si="69"/>
        <v>0</v>
      </c>
      <c r="V113" s="37">
        <f t="shared" si="70"/>
        <v>0</v>
      </c>
      <c r="W113" s="38">
        <f t="shared" si="61"/>
        <v>0</v>
      </c>
      <c r="X113" s="38">
        <f t="shared" si="62"/>
        <v>0</v>
      </c>
      <c r="Y113" s="38"/>
      <c r="Z113" s="38"/>
      <c r="AA113" s="38"/>
    </row>
    <row r="114" spans="1:27" ht="15.75" hidden="1" customHeight="1">
      <c r="A114" s="35" t="s">
        <v>48</v>
      </c>
      <c r="B114" s="36" t="s">
        <v>60</v>
      </c>
      <c r="C114" s="37">
        <f t="shared" si="64"/>
        <v>0</v>
      </c>
      <c r="D114" s="37">
        <f t="shared" si="65"/>
        <v>0</v>
      </c>
      <c r="E114" s="37">
        <v>0</v>
      </c>
      <c r="F114" s="37">
        <v>0</v>
      </c>
      <c r="G114" s="37">
        <v>0</v>
      </c>
      <c r="H114" s="37">
        <f t="shared" si="66"/>
        <v>0</v>
      </c>
      <c r="I114" s="37">
        <v>0</v>
      </c>
      <c r="J114" s="37">
        <v>0</v>
      </c>
      <c r="K114" s="37">
        <v>0</v>
      </c>
      <c r="L114" s="37">
        <v>0</v>
      </c>
      <c r="M114" s="37">
        <f t="shared" si="67"/>
        <v>0</v>
      </c>
      <c r="N114" s="37">
        <v>0</v>
      </c>
      <c r="O114" s="37">
        <v>0</v>
      </c>
      <c r="P114" s="37">
        <v>0</v>
      </c>
      <c r="Q114" s="37">
        <v>0</v>
      </c>
      <c r="R114" s="37">
        <f t="shared" si="68"/>
        <v>0</v>
      </c>
      <c r="S114" s="37">
        <f t="shared" si="69"/>
        <v>0</v>
      </c>
      <c r="T114" s="37">
        <f t="shared" si="69"/>
        <v>0</v>
      </c>
      <c r="U114" s="37">
        <f t="shared" si="69"/>
        <v>0</v>
      </c>
      <c r="V114" s="37">
        <f t="shared" si="70"/>
        <v>0</v>
      </c>
      <c r="W114" s="38"/>
      <c r="X114" s="38"/>
      <c r="Y114" s="38"/>
      <c r="Z114" s="38"/>
      <c r="AA114" s="38"/>
    </row>
    <row r="115" spans="1:27" ht="21" hidden="1">
      <c r="A115" s="35" t="s">
        <v>48</v>
      </c>
      <c r="B115" s="36" t="s">
        <v>61</v>
      </c>
      <c r="C115" s="37">
        <f t="shared" si="64"/>
        <v>161</v>
      </c>
      <c r="D115" s="37">
        <f t="shared" si="65"/>
        <v>0</v>
      </c>
      <c r="E115" s="37">
        <v>0</v>
      </c>
      <c r="F115" s="37">
        <v>0</v>
      </c>
      <c r="G115" s="37">
        <v>0</v>
      </c>
      <c r="H115" s="37">
        <f t="shared" si="66"/>
        <v>161</v>
      </c>
      <c r="I115" s="37">
        <v>161</v>
      </c>
      <c r="J115" s="37">
        <v>0</v>
      </c>
      <c r="K115" s="37">
        <v>0</v>
      </c>
      <c r="L115" s="37">
        <v>0</v>
      </c>
      <c r="M115" s="37">
        <f t="shared" si="67"/>
        <v>44</v>
      </c>
      <c r="N115" s="37">
        <v>44</v>
      </c>
      <c r="O115" s="37">
        <v>0</v>
      </c>
      <c r="P115" s="37">
        <v>0</v>
      </c>
      <c r="Q115" s="37">
        <v>0</v>
      </c>
      <c r="R115" s="37">
        <f t="shared" si="68"/>
        <v>117</v>
      </c>
      <c r="S115" s="37">
        <f t="shared" si="69"/>
        <v>117</v>
      </c>
      <c r="T115" s="37">
        <f t="shared" si="69"/>
        <v>0</v>
      </c>
      <c r="U115" s="37">
        <f t="shared" si="69"/>
        <v>0</v>
      </c>
      <c r="V115" s="37">
        <f t="shared" si="70"/>
        <v>0</v>
      </c>
      <c r="W115" s="38">
        <f t="shared" si="61"/>
        <v>0.27329192546583853</v>
      </c>
      <c r="X115" s="38">
        <f t="shared" si="62"/>
        <v>0.27329192546583853</v>
      </c>
      <c r="Y115" s="38"/>
      <c r="Z115" s="38"/>
      <c r="AA115" s="38"/>
    </row>
    <row r="116" spans="1:27" ht="18.75" hidden="1" customHeight="1">
      <c r="A116" s="35" t="s">
        <v>48</v>
      </c>
      <c r="B116" s="36" t="s">
        <v>62</v>
      </c>
      <c r="C116" s="37">
        <f t="shared" si="64"/>
        <v>936</v>
      </c>
      <c r="D116" s="37">
        <f t="shared" si="65"/>
        <v>0</v>
      </c>
      <c r="E116" s="37">
        <v>0</v>
      </c>
      <c r="F116" s="37">
        <v>0</v>
      </c>
      <c r="G116" s="37">
        <v>0</v>
      </c>
      <c r="H116" s="37">
        <f t="shared" si="66"/>
        <v>936</v>
      </c>
      <c r="I116" s="37">
        <v>936</v>
      </c>
      <c r="J116" s="37">
        <v>0</v>
      </c>
      <c r="K116" s="37">
        <v>0</v>
      </c>
      <c r="L116" s="37">
        <v>0</v>
      </c>
      <c r="M116" s="37">
        <f t="shared" si="67"/>
        <v>30</v>
      </c>
      <c r="N116" s="37">
        <v>30</v>
      </c>
      <c r="O116" s="37">
        <v>0</v>
      </c>
      <c r="P116" s="37">
        <v>0</v>
      </c>
      <c r="Q116" s="37">
        <v>0</v>
      </c>
      <c r="R116" s="37">
        <f t="shared" si="68"/>
        <v>906</v>
      </c>
      <c r="S116" s="37">
        <f t="shared" si="69"/>
        <v>906</v>
      </c>
      <c r="T116" s="37">
        <f t="shared" si="69"/>
        <v>0</v>
      </c>
      <c r="U116" s="37">
        <f t="shared" si="69"/>
        <v>0</v>
      </c>
      <c r="V116" s="37">
        <f t="shared" si="70"/>
        <v>0</v>
      </c>
      <c r="W116" s="38">
        <f t="shared" si="61"/>
        <v>3.2051282051282048E-2</v>
      </c>
      <c r="X116" s="38">
        <f t="shared" si="62"/>
        <v>3.2051282051282048E-2</v>
      </c>
      <c r="Y116" s="38"/>
      <c r="Z116" s="38"/>
      <c r="AA116" s="38"/>
    </row>
    <row r="117" spans="1:27" ht="22.5" hidden="1" customHeight="1">
      <c r="A117" s="35" t="s">
        <v>48</v>
      </c>
      <c r="B117" s="36" t="s">
        <v>63</v>
      </c>
      <c r="C117" s="37">
        <f t="shared" si="64"/>
        <v>0</v>
      </c>
      <c r="D117" s="37">
        <f t="shared" si="65"/>
        <v>0</v>
      </c>
      <c r="E117" s="37">
        <v>0</v>
      </c>
      <c r="F117" s="37">
        <v>0</v>
      </c>
      <c r="G117" s="37">
        <v>0</v>
      </c>
      <c r="H117" s="37">
        <f t="shared" si="66"/>
        <v>0</v>
      </c>
      <c r="I117" s="37">
        <v>0</v>
      </c>
      <c r="J117" s="37">
        <v>0</v>
      </c>
      <c r="K117" s="37">
        <v>0</v>
      </c>
      <c r="L117" s="37">
        <v>0</v>
      </c>
      <c r="M117" s="37">
        <f t="shared" si="67"/>
        <v>0</v>
      </c>
      <c r="N117" s="37">
        <v>0</v>
      </c>
      <c r="O117" s="37">
        <v>0</v>
      </c>
      <c r="P117" s="37">
        <v>0</v>
      </c>
      <c r="Q117" s="37">
        <v>0</v>
      </c>
      <c r="R117" s="37">
        <f t="shared" si="68"/>
        <v>0</v>
      </c>
      <c r="S117" s="37">
        <f t="shared" si="69"/>
        <v>0</v>
      </c>
      <c r="T117" s="37">
        <f t="shared" si="69"/>
        <v>0</v>
      </c>
      <c r="U117" s="37">
        <f t="shared" si="69"/>
        <v>0</v>
      </c>
      <c r="V117" s="37">
        <f t="shared" si="70"/>
        <v>0</v>
      </c>
      <c r="W117" s="38"/>
      <c r="X117" s="38"/>
      <c r="Y117" s="38"/>
      <c r="Z117" s="38"/>
      <c r="AA117" s="38"/>
    </row>
    <row r="118" spans="1:27" s="12" customFormat="1" ht="15.75" customHeight="1">
      <c r="A118" s="31" t="s">
        <v>72</v>
      </c>
      <c r="B118" s="32" t="s">
        <v>73</v>
      </c>
      <c r="C118" s="33">
        <f>+C119+C120</f>
        <v>51430</v>
      </c>
      <c r="D118" s="33">
        <f t="shared" ref="D118:V118" si="71">+D119+D120</f>
        <v>154</v>
      </c>
      <c r="E118" s="33">
        <f t="shared" si="71"/>
        <v>154</v>
      </c>
      <c r="F118" s="33">
        <f t="shared" si="71"/>
        <v>0</v>
      </c>
      <c r="G118" s="33">
        <f t="shared" si="71"/>
        <v>0</v>
      </c>
      <c r="H118" s="33">
        <f t="shared" si="71"/>
        <v>51276</v>
      </c>
      <c r="I118" s="33">
        <f t="shared" si="71"/>
        <v>30161</v>
      </c>
      <c r="J118" s="33">
        <f t="shared" si="71"/>
        <v>350</v>
      </c>
      <c r="K118" s="33">
        <f t="shared" si="71"/>
        <v>7228</v>
      </c>
      <c r="L118" s="33">
        <f t="shared" si="71"/>
        <v>13537</v>
      </c>
      <c r="M118" s="33">
        <f t="shared" si="71"/>
        <v>11457.226999999999</v>
      </c>
      <c r="N118" s="33">
        <f t="shared" si="71"/>
        <v>5026.7569999999996</v>
      </c>
      <c r="O118" s="33">
        <f t="shared" si="71"/>
        <v>0</v>
      </c>
      <c r="P118" s="33">
        <f t="shared" si="71"/>
        <v>1987.47</v>
      </c>
      <c r="Q118" s="33">
        <f t="shared" si="71"/>
        <v>4443</v>
      </c>
      <c r="R118" s="33">
        <f t="shared" si="71"/>
        <v>39972.773000000001</v>
      </c>
      <c r="S118" s="33">
        <f t="shared" si="71"/>
        <v>25288.243000000002</v>
      </c>
      <c r="T118" s="33">
        <f t="shared" si="71"/>
        <v>350</v>
      </c>
      <c r="U118" s="33">
        <f t="shared" si="71"/>
        <v>5240.5300000000007</v>
      </c>
      <c r="V118" s="33">
        <f t="shared" si="71"/>
        <v>9094</v>
      </c>
      <c r="W118" s="34">
        <f>M118/C118</f>
        <v>0.22277322574372932</v>
      </c>
      <c r="X118" s="34">
        <f>N118/(E118+I118)</f>
        <v>0.16581748309417779</v>
      </c>
      <c r="Y118" s="34">
        <f>O118/(F118+J118)</f>
        <v>0</v>
      </c>
      <c r="Z118" s="34">
        <f>P118/(G118+K118)</f>
        <v>0.27496817930271167</v>
      </c>
      <c r="AA118" s="34">
        <f>Q118/L118</f>
        <v>0.32821156829430448</v>
      </c>
    </row>
    <row r="119" spans="1:27" ht="18.75" customHeight="1">
      <c r="A119" s="35" t="s">
        <v>45</v>
      </c>
      <c r="B119" s="36" t="s">
        <v>46</v>
      </c>
      <c r="C119" s="37">
        <f>+D119+H119</f>
        <v>31664</v>
      </c>
      <c r="D119" s="37">
        <f>SUM(E119:G119)</f>
        <v>154</v>
      </c>
      <c r="E119" s="37">
        <v>154</v>
      </c>
      <c r="F119" s="37">
        <v>0</v>
      </c>
      <c r="G119" s="37">
        <v>0</v>
      </c>
      <c r="H119" s="37">
        <f>SUM(I119:L119)</f>
        <v>31510</v>
      </c>
      <c r="I119" s="37">
        <v>11240</v>
      </c>
      <c r="J119" s="37">
        <v>350</v>
      </c>
      <c r="K119" s="37">
        <v>6383</v>
      </c>
      <c r="L119" s="37">
        <v>13537</v>
      </c>
      <c r="M119" s="37">
        <f>SUM(N119:Q119)</f>
        <v>9903.89</v>
      </c>
      <c r="N119" s="37">
        <v>3497.58</v>
      </c>
      <c r="O119" s="37">
        <v>0</v>
      </c>
      <c r="P119" s="37">
        <v>1963.31</v>
      </c>
      <c r="Q119" s="37">
        <v>4443</v>
      </c>
      <c r="R119" s="37">
        <f>SUM(S119:V119)</f>
        <v>21760.11</v>
      </c>
      <c r="S119" s="37">
        <f>(E119+I119)-N119</f>
        <v>7896.42</v>
      </c>
      <c r="T119" s="37">
        <f>(F119+J119)-O119</f>
        <v>350</v>
      </c>
      <c r="U119" s="37">
        <f>(G119+K119)-P119</f>
        <v>4419.6900000000005</v>
      </c>
      <c r="V119" s="37">
        <f>L119-Q119</f>
        <v>9094</v>
      </c>
      <c r="W119" s="38">
        <f t="shared" ref="W119:W134" si="72">M119/C119</f>
        <v>0.31278076048509346</v>
      </c>
      <c r="X119" s="38">
        <f t="shared" ref="X119:X134" si="73">N119/(E119+I119)</f>
        <v>0.30696682464454977</v>
      </c>
      <c r="Y119" s="38">
        <f>O119/(F119+J119)</f>
        <v>0</v>
      </c>
      <c r="Z119" s="38">
        <f t="shared" ref="Z119:Z134" si="74">P119/(G119+K119)</f>
        <v>0.30758420805263981</v>
      </c>
      <c r="AA119" s="38">
        <f>Q119/L119</f>
        <v>0.32821156829430448</v>
      </c>
    </row>
    <row r="120" spans="1:27" ht="15.75" customHeight="1">
      <c r="A120" s="35" t="s">
        <v>45</v>
      </c>
      <c r="B120" s="36" t="s">
        <v>47</v>
      </c>
      <c r="C120" s="37">
        <f t="shared" ref="C120:V120" si="75">SUM(C121:C135)</f>
        <v>19766</v>
      </c>
      <c r="D120" s="37">
        <f t="shared" si="75"/>
        <v>0</v>
      </c>
      <c r="E120" s="37">
        <f t="shared" si="75"/>
        <v>0</v>
      </c>
      <c r="F120" s="37">
        <f t="shared" si="75"/>
        <v>0</v>
      </c>
      <c r="G120" s="37">
        <f t="shared" si="75"/>
        <v>0</v>
      </c>
      <c r="H120" s="37">
        <f t="shared" si="75"/>
        <v>19766</v>
      </c>
      <c r="I120" s="37">
        <f t="shared" si="75"/>
        <v>18921</v>
      </c>
      <c r="J120" s="37">
        <f t="shared" si="75"/>
        <v>0</v>
      </c>
      <c r="K120" s="37">
        <f t="shared" si="75"/>
        <v>845</v>
      </c>
      <c r="L120" s="37">
        <f t="shared" si="75"/>
        <v>0</v>
      </c>
      <c r="M120" s="37">
        <f t="shared" si="75"/>
        <v>1553.337</v>
      </c>
      <c r="N120" s="37">
        <f t="shared" si="75"/>
        <v>1529.1770000000001</v>
      </c>
      <c r="O120" s="37">
        <f t="shared" si="75"/>
        <v>0</v>
      </c>
      <c r="P120" s="37">
        <f t="shared" si="75"/>
        <v>24.16</v>
      </c>
      <c r="Q120" s="37">
        <f t="shared" si="75"/>
        <v>0</v>
      </c>
      <c r="R120" s="37">
        <f t="shared" si="75"/>
        <v>18212.663</v>
      </c>
      <c r="S120" s="37">
        <f t="shared" si="75"/>
        <v>17391.823</v>
      </c>
      <c r="T120" s="37">
        <f t="shared" si="75"/>
        <v>0</v>
      </c>
      <c r="U120" s="37">
        <f t="shared" si="75"/>
        <v>820.84</v>
      </c>
      <c r="V120" s="37">
        <f t="shared" si="75"/>
        <v>0</v>
      </c>
      <c r="W120" s="38">
        <f t="shared" si="72"/>
        <v>7.8586309824951933E-2</v>
      </c>
      <c r="X120" s="38">
        <f t="shared" si="73"/>
        <v>8.0819037048781781E-2</v>
      </c>
      <c r="Y120" s="38"/>
      <c r="Z120" s="38">
        <f t="shared" si="74"/>
        <v>2.859171597633136E-2</v>
      </c>
      <c r="AA120" s="38"/>
    </row>
    <row r="121" spans="1:27" ht="15.75" hidden="1" customHeight="1">
      <c r="A121" s="35" t="s">
        <v>48</v>
      </c>
      <c r="B121" s="36" t="s">
        <v>49</v>
      </c>
      <c r="C121" s="37">
        <f t="shared" ref="C121:C135" si="76">+D121+H121</f>
        <v>4590</v>
      </c>
      <c r="D121" s="37">
        <f t="shared" ref="D121:D135" si="77">SUM(E121:G121)</f>
        <v>0</v>
      </c>
      <c r="E121" s="37">
        <v>0</v>
      </c>
      <c r="F121" s="37">
        <v>0</v>
      </c>
      <c r="G121" s="37">
        <v>0</v>
      </c>
      <c r="H121" s="37">
        <f t="shared" ref="H121:H135" si="78">SUM(I121:L121)</f>
        <v>4590</v>
      </c>
      <c r="I121" s="37">
        <v>4590</v>
      </c>
      <c r="J121" s="37">
        <v>0</v>
      </c>
      <c r="K121" s="37">
        <v>0</v>
      </c>
      <c r="L121" s="37">
        <v>0</v>
      </c>
      <c r="M121" s="37">
        <f t="shared" ref="M121:M135" si="79">SUM(N121:Q121)</f>
        <v>768.85699999999997</v>
      </c>
      <c r="N121" s="37">
        <v>768.85699999999997</v>
      </c>
      <c r="O121" s="37">
        <v>0</v>
      </c>
      <c r="P121" s="37">
        <v>0</v>
      </c>
      <c r="Q121" s="37">
        <v>0</v>
      </c>
      <c r="R121" s="37">
        <f t="shared" ref="R121:R135" si="80">SUM(S121:V121)</f>
        <v>3821.143</v>
      </c>
      <c r="S121" s="37">
        <f t="shared" ref="S121:U135" si="81">(E121+I121)-N121</f>
        <v>3821.143</v>
      </c>
      <c r="T121" s="37">
        <f t="shared" si="81"/>
        <v>0</v>
      </c>
      <c r="U121" s="37">
        <f t="shared" si="81"/>
        <v>0</v>
      </c>
      <c r="V121" s="37">
        <f t="shared" ref="V121:V135" si="82">L121-Q121</f>
        <v>0</v>
      </c>
      <c r="W121" s="38">
        <f t="shared" si="72"/>
        <v>0.1675069716775599</v>
      </c>
      <c r="X121" s="38">
        <f t="shared" si="73"/>
        <v>0.1675069716775599</v>
      </c>
      <c r="Y121" s="38"/>
      <c r="Z121" s="38"/>
      <c r="AA121" s="38"/>
    </row>
    <row r="122" spans="1:27" ht="15.75" hidden="1" customHeight="1">
      <c r="A122" s="35" t="s">
        <v>48</v>
      </c>
      <c r="B122" s="36" t="s">
        <v>50</v>
      </c>
      <c r="C122" s="37">
        <f t="shared" si="76"/>
        <v>7050</v>
      </c>
      <c r="D122" s="37">
        <f t="shared" si="77"/>
        <v>0</v>
      </c>
      <c r="E122" s="37">
        <v>0</v>
      </c>
      <c r="F122" s="37">
        <v>0</v>
      </c>
      <c r="G122" s="37">
        <v>0</v>
      </c>
      <c r="H122" s="37">
        <f t="shared" si="78"/>
        <v>7050</v>
      </c>
      <c r="I122" s="37">
        <v>6806</v>
      </c>
      <c r="J122" s="37">
        <v>0</v>
      </c>
      <c r="K122" s="37">
        <v>244</v>
      </c>
      <c r="L122" s="37">
        <v>0</v>
      </c>
      <c r="M122" s="37">
        <f t="shared" si="79"/>
        <v>236.17000000000002</v>
      </c>
      <c r="N122" s="37">
        <v>236.17000000000002</v>
      </c>
      <c r="O122" s="37">
        <v>0</v>
      </c>
      <c r="P122" s="37">
        <v>0</v>
      </c>
      <c r="Q122" s="37">
        <v>0</v>
      </c>
      <c r="R122" s="37">
        <f t="shared" si="80"/>
        <v>6813.83</v>
      </c>
      <c r="S122" s="37">
        <f t="shared" si="81"/>
        <v>6569.83</v>
      </c>
      <c r="T122" s="37">
        <f t="shared" si="81"/>
        <v>0</v>
      </c>
      <c r="U122" s="37">
        <f t="shared" si="81"/>
        <v>244</v>
      </c>
      <c r="V122" s="37">
        <f t="shared" si="82"/>
        <v>0</v>
      </c>
      <c r="W122" s="38">
        <f t="shared" si="72"/>
        <v>3.3499290780141848E-2</v>
      </c>
      <c r="X122" s="38">
        <f t="shared" si="73"/>
        <v>3.4700264472524243E-2</v>
      </c>
      <c r="Y122" s="38"/>
      <c r="Z122" s="38">
        <f t="shared" si="74"/>
        <v>0</v>
      </c>
      <c r="AA122" s="38"/>
    </row>
    <row r="123" spans="1:27" ht="15.75" hidden="1" customHeight="1">
      <c r="A123" s="35" t="s">
        <v>48</v>
      </c>
      <c r="B123" s="36" t="s">
        <v>51</v>
      </c>
      <c r="C123" s="37">
        <f t="shared" si="76"/>
        <v>410</v>
      </c>
      <c r="D123" s="37">
        <f t="shared" si="77"/>
        <v>0</v>
      </c>
      <c r="E123" s="37">
        <v>0</v>
      </c>
      <c r="F123" s="37">
        <v>0</v>
      </c>
      <c r="G123" s="37">
        <v>0</v>
      </c>
      <c r="H123" s="37">
        <f t="shared" si="78"/>
        <v>410</v>
      </c>
      <c r="I123" s="37">
        <v>405</v>
      </c>
      <c r="J123" s="37">
        <v>0</v>
      </c>
      <c r="K123" s="37">
        <v>5</v>
      </c>
      <c r="L123" s="37">
        <v>0</v>
      </c>
      <c r="M123" s="37">
        <f t="shared" si="79"/>
        <v>0</v>
      </c>
      <c r="N123" s="37">
        <v>0</v>
      </c>
      <c r="O123" s="37">
        <v>0</v>
      </c>
      <c r="P123" s="37">
        <v>0</v>
      </c>
      <c r="Q123" s="37">
        <v>0</v>
      </c>
      <c r="R123" s="37">
        <f t="shared" si="80"/>
        <v>410</v>
      </c>
      <c r="S123" s="37">
        <f t="shared" si="81"/>
        <v>405</v>
      </c>
      <c r="T123" s="37">
        <f t="shared" si="81"/>
        <v>0</v>
      </c>
      <c r="U123" s="37">
        <f t="shared" si="81"/>
        <v>5</v>
      </c>
      <c r="V123" s="37">
        <f t="shared" si="82"/>
        <v>0</v>
      </c>
      <c r="W123" s="38">
        <f t="shared" si="72"/>
        <v>0</v>
      </c>
      <c r="X123" s="38">
        <f t="shared" si="73"/>
        <v>0</v>
      </c>
      <c r="Y123" s="38"/>
      <c r="Z123" s="38">
        <f t="shared" si="74"/>
        <v>0</v>
      </c>
      <c r="AA123" s="38"/>
    </row>
    <row r="124" spans="1:27" ht="24" hidden="1" customHeight="1">
      <c r="A124" s="35" t="s">
        <v>48</v>
      </c>
      <c r="B124" s="36" t="s">
        <v>52</v>
      </c>
      <c r="C124" s="37">
        <f t="shared" si="76"/>
        <v>410</v>
      </c>
      <c r="D124" s="37">
        <f t="shared" si="77"/>
        <v>0</v>
      </c>
      <c r="E124" s="37">
        <v>0</v>
      </c>
      <c r="F124" s="37">
        <v>0</v>
      </c>
      <c r="G124" s="37">
        <v>0</v>
      </c>
      <c r="H124" s="37">
        <f t="shared" si="78"/>
        <v>410</v>
      </c>
      <c r="I124" s="37">
        <v>405</v>
      </c>
      <c r="J124" s="37">
        <v>0</v>
      </c>
      <c r="K124" s="37">
        <v>5</v>
      </c>
      <c r="L124" s="37">
        <v>0</v>
      </c>
      <c r="M124" s="37">
        <f t="shared" si="79"/>
        <v>0</v>
      </c>
      <c r="N124" s="37">
        <v>0</v>
      </c>
      <c r="O124" s="37">
        <v>0</v>
      </c>
      <c r="P124" s="37">
        <v>0</v>
      </c>
      <c r="Q124" s="37">
        <v>0</v>
      </c>
      <c r="R124" s="37">
        <f t="shared" si="80"/>
        <v>410</v>
      </c>
      <c r="S124" s="37">
        <f t="shared" si="81"/>
        <v>405</v>
      </c>
      <c r="T124" s="37">
        <f t="shared" si="81"/>
        <v>0</v>
      </c>
      <c r="U124" s="37">
        <f t="shared" si="81"/>
        <v>5</v>
      </c>
      <c r="V124" s="37">
        <f t="shared" si="82"/>
        <v>0</v>
      </c>
      <c r="W124" s="38">
        <f t="shared" si="72"/>
        <v>0</v>
      </c>
      <c r="X124" s="38">
        <f t="shared" si="73"/>
        <v>0</v>
      </c>
      <c r="Y124" s="38"/>
      <c r="Z124" s="38">
        <f t="shared" si="74"/>
        <v>0</v>
      </c>
      <c r="AA124" s="38"/>
    </row>
    <row r="125" spans="1:27" ht="25.5" hidden="1" customHeight="1">
      <c r="A125" s="35" t="s">
        <v>48</v>
      </c>
      <c r="B125" s="36" t="s">
        <v>53</v>
      </c>
      <c r="C125" s="37">
        <f t="shared" si="76"/>
        <v>200</v>
      </c>
      <c r="D125" s="37">
        <f t="shared" si="77"/>
        <v>0</v>
      </c>
      <c r="E125" s="37">
        <v>0</v>
      </c>
      <c r="F125" s="37">
        <v>0</v>
      </c>
      <c r="G125" s="37">
        <v>0</v>
      </c>
      <c r="H125" s="37">
        <f t="shared" si="78"/>
        <v>200</v>
      </c>
      <c r="I125" s="37">
        <v>200</v>
      </c>
      <c r="J125" s="37">
        <v>0</v>
      </c>
      <c r="K125" s="37">
        <v>0</v>
      </c>
      <c r="L125" s="37">
        <v>0</v>
      </c>
      <c r="M125" s="37">
        <f t="shared" si="79"/>
        <v>0</v>
      </c>
      <c r="N125" s="37">
        <v>0</v>
      </c>
      <c r="O125" s="37">
        <v>0</v>
      </c>
      <c r="P125" s="37">
        <v>0</v>
      </c>
      <c r="Q125" s="37">
        <v>0</v>
      </c>
      <c r="R125" s="37">
        <f t="shared" si="80"/>
        <v>200</v>
      </c>
      <c r="S125" s="37">
        <f t="shared" si="81"/>
        <v>200</v>
      </c>
      <c r="T125" s="37">
        <f t="shared" si="81"/>
        <v>0</v>
      </c>
      <c r="U125" s="37">
        <f t="shared" si="81"/>
        <v>0</v>
      </c>
      <c r="V125" s="37">
        <f t="shared" si="82"/>
        <v>0</v>
      </c>
      <c r="W125" s="38">
        <f t="shared" si="72"/>
        <v>0</v>
      </c>
      <c r="X125" s="38">
        <f t="shared" si="73"/>
        <v>0</v>
      </c>
      <c r="Y125" s="38"/>
      <c r="Z125" s="38"/>
      <c r="AA125" s="38"/>
    </row>
    <row r="126" spans="1:27" ht="26.25" hidden="1" customHeight="1">
      <c r="A126" s="35" t="s">
        <v>48</v>
      </c>
      <c r="B126" s="36" t="s">
        <v>54</v>
      </c>
      <c r="C126" s="37">
        <f t="shared" si="76"/>
        <v>0</v>
      </c>
      <c r="D126" s="37">
        <f t="shared" si="77"/>
        <v>0</v>
      </c>
      <c r="E126" s="37">
        <v>0</v>
      </c>
      <c r="F126" s="37">
        <v>0</v>
      </c>
      <c r="G126" s="37">
        <v>0</v>
      </c>
      <c r="H126" s="37">
        <f t="shared" si="78"/>
        <v>0</v>
      </c>
      <c r="I126" s="37">
        <v>0</v>
      </c>
      <c r="J126" s="37">
        <v>0</v>
      </c>
      <c r="K126" s="37">
        <v>0</v>
      </c>
      <c r="L126" s="37">
        <v>0</v>
      </c>
      <c r="M126" s="37">
        <f t="shared" si="79"/>
        <v>0</v>
      </c>
      <c r="N126" s="37">
        <v>0</v>
      </c>
      <c r="O126" s="37">
        <v>0</v>
      </c>
      <c r="P126" s="37">
        <v>0</v>
      </c>
      <c r="Q126" s="37">
        <v>0</v>
      </c>
      <c r="R126" s="37">
        <f t="shared" si="80"/>
        <v>0</v>
      </c>
      <c r="S126" s="37">
        <f t="shared" si="81"/>
        <v>0</v>
      </c>
      <c r="T126" s="37">
        <f t="shared" si="81"/>
        <v>0</v>
      </c>
      <c r="U126" s="37">
        <f t="shared" si="81"/>
        <v>0</v>
      </c>
      <c r="V126" s="37">
        <f t="shared" si="82"/>
        <v>0</v>
      </c>
      <c r="W126" s="38"/>
      <c r="X126" s="38"/>
      <c r="Y126" s="38"/>
      <c r="Z126" s="38"/>
      <c r="AA126" s="38"/>
    </row>
    <row r="127" spans="1:27" ht="20.25" hidden="1" customHeight="1">
      <c r="A127" s="35" t="s">
        <v>48</v>
      </c>
      <c r="B127" s="36" t="s">
        <v>55</v>
      </c>
      <c r="C127" s="37">
        <f t="shared" si="76"/>
        <v>550</v>
      </c>
      <c r="D127" s="37">
        <f t="shared" si="77"/>
        <v>0</v>
      </c>
      <c r="E127" s="37">
        <v>0</v>
      </c>
      <c r="F127" s="37">
        <v>0</v>
      </c>
      <c r="G127" s="37">
        <v>0</v>
      </c>
      <c r="H127" s="37">
        <f t="shared" si="78"/>
        <v>550</v>
      </c>
      <c r="I127" s="37">
        <v>540</v>
      </c>
      <c r="J127" s="37">
        <v>0</v>
      </c>
      <c r="K127" s="37">
        <v>10</v>
      </c>
      <c r="L127" s="37">
        <v>0</v>
      </c>
      <c r="M127" s="37">
        <f t="shared" si="79"/>
        <v>75</v>
      </c>
      <c r="N127" s="37">
        <v>75</v>
      </c>
      <c r="O127" s="37">
        <v>0</v>
      </c>
      <c r="P127" s="37">
        <v>0</v>
      </c>
      <c r="Q127" s="37">
        <v>0</v>
      </c>
      <c r="R127" s="37">
        <f t="shared" si="80"/>
        <v>475</v>
      </c>
      <c r="S127" s="37">
        <f t="shared" si="81"/>
        <v>465</v>
      </c>
      <c r="T127" s="37">
        <f t="shared" si="81"/>
        <v>0</v>
      </c>
      <c r="U127" s="37">
        <f t="shared" si="81"/>
        <v>10</v>
      </c>
      <c r="V127" s="37">
        <f t="shared" si="82"/>
        <v>0</v>
      </c>
      <c r="W127" s="38">
        <f t="shared" si="72"/>
        <v>0.13636363636363635</v>
      </c>
      <c r="X127" s="38">
        <f t="shared" si="73"/>
        <v>0.1388888888888889</v>
      </c>
      <c r="Y127" s="38"/>
      <c r="Z127" s="38">
        <f t="shared" si="74"/>
        <v>0</v>
      </c>
      <c r="AA127" s="38"/>
    </row>
    <row r="128" spans="1:27" ht="15.75" hidden="1" customHeight="1">
      <c r="A128" s="35" t="s">
        <v>48</v>
      </c>
      <c r="B128" s="36" t="s">
        <v>56</v>
      </c>
      <c r="C128" s="37">
        <f t="shared" si="76"/>
        <v>3277</v>
      </c>
      <c r="D128" s="37">
        <f t="shared" si="77"/>
        <v>0</v>
      </c>
      <c r="E128" s="37">
        <v>0</v>
      </c>
      <c r="F128" s="37">
        <v>0</v>
      </c>
      <c r="G128" s="37">
        <v>0</v>
      </c>
      <c r="H128" s="37">
        <f t="shared" si="78"/>
        <v>3277</v>
      </c>
      <c r="I128" s="37">
        <v>3129</v>
      </c>
      <c r="J128" s="37">
        <v>0</v>
      </c>
      <c r="K128" s="37">
        <v>148</v>
      </c>
      <c r="L128" s="37">
        <v>0</v>
      </c>
      <c r="M128" s="37">
        <f t="shared" si="79"/>
        <v>224.31</v>
      </c>
      <c r="N128" s="37">
        <v>200.15</v>
      </c>
      <c r="O128" s="37">
        <v>0</v>
      </c>
      <c r="P128" s="37">
        <v>24.16</v>
      </c>
      <c r="Q128" s="37">
        <v>0</v>
      </c>
      <c r="R128" s="37">
        <f t="shared" si="80"/>
        <v>3052.69</v>
      </c>
      <c r="S128" s="37">
        <f t="shared" si="81"/>
        <v>2928.85</v>
      </c>
      <c r="T128" s="37">
        <f t="shared" si="81"/>
        <v>0</v>
      </c>
      <c r="U128" s="37">
        <f t="shared" si="81"/>
        <v>123.84</v>
      </c>
      <c r="V128" s="37">
        <f t="shared" si="82"/>
        <v>0</v>
      </c>
      <c r="W128" s="38">
        <f t="shared" si="72"/>
        <v>6.844980164784864E-2</v>
      </c>
      <c r="X128" s="38">
        <f t="shared" si="73"/>
        <v>6.3966123362096519E-2</v>
      </c>
      <c r="Y128" s="38"/>
      <c r="Z128" s="38">
        <f t="shared" si="74"/>
        <v>0.16324324324324324</v>
      </c>
      <c r="AA128" s="38"/>
    </row>
    <row r="129" spans="1:27" ht="15.75" hidden="1" customHeight="1">
      <c r="A129" s="35" t="s">
        <v>48</v>
      </c>
      <c r="B129" s="36" t="s">
        <v>57</v>
      </c>
      <c r="C129" s="37">
        <f t="shared" si="76"/>
        <v>1213</v>
      </c>
      <c r="D129" s="37">
        <f t="shared" si="77"/>
        <v>0</v>
      </c>
      <c r="E129" s="37">
        <v>0</v>
      </c>
      <c r="F129" s="37">
        <v>0</v>
      </c>
      <c r="G129" s="37">
        <v>0</v>
      </c>
      <c r="H129" s="37">
        <f t="shared" si="78"/>
        <v>1213</v>
      </c>
      <c r="I129" s="37">
        <v>866</v>
      </c>
      <c r="J129" s="37">
        <v>0</v>
      </c>
      <c r="K129" s="37">
        <v>347</v>
      </c>
      <c r="L129" s="37">
        <v>0</v>
      </c>
      <c r="M129" s="37">
        <f t="shared" si="79"/>
        <v>199</v>
      </c>
      <c r="N129" s="37">
        <v>199</v>
      </c>
      <c r="O129" s="37">
        <v>0</v>
      </c>
      <c r="P129" s="37">
        <v>0</v>
      </c>
      <c r="Q129" s="37">
        <v>0</v>
      </c>
      <c r="R129" s="37">
        <f t="shared" si="80"/>
        <v>1014</v>
      </c>
      <c r="S129" s="37">
        <f t="shared" si="81"/>
        <v>667</v>
      </c>
      <c r="T129" s="37">
        <f t="shared" si="81"/>
        <v>0</v>
      </c>
      <c r="U129" s="37">
        <f t="shared" si="81"/>
        <v>347</v>
      </c>
      <c r="V129" s="37">
        <f t="shared" si="82"/>
        <v>0</v>
      </c>
      <c r="W129" s="38">
        <f t="shared" si="72"/>
        <v>0.16405605935696621</v>
      </c>
      <c r="X129" s="38">
        <f t="shared" si="73"/>
        <v>0.22979214780600463</v>
      </c>
      <c r="Y129" s="38"/>
      <c r="Z129" s="38">
        <f t="shared" si="74"/>
        <v>0</v>
      </c>
      <c r="AA129" s="38"/>
    </row>
    <row r="130" spans="1:27" ht="15.75" hidden="1" customHeight="1">
      <c r="A130" s="35" t="s">
        <v>48</v>
      </c>
      <c r="B130" s="36" t="s">
        <v>58</v>
      </c>
      <c r="C130" s="37">
        <f t="shared" si="76"/>
        <v>335</v>
      </c>
      <c r="D130" s="37">
        <f t="shared" si="77"/>
        <v>0</v>
      </c>
      <c r="E130" s="37">
        <v>0</v>
      </c>
      <c r="F130" s="37">
        <v>0</v>
      </c>
      <c r="G130" s="37">
        <v>0</v>
      </c>
      <c r="H130" s="37">
        <f t="shared" si="78"/>
        <v>335</v>
      </c>
      <c r="I130" s="37">
        <v>300</v>
      </c>
      <c r="J130" s="37">
        <v>0</v>
      </c>
      <c r="K130" s="37">
        <v>35</v>
      </c>
      <c r="L130" s="37">
        <v>0</v>
      </c>
      <c r="M130" s="37">
        <f t="shared" si="79"/>
        <v>0</v>
      </c>
      <c r="N130" s="37">
        <v>0</v>
      </c>
      <c r="O130" s="37">
        <v>0</v>
      </c>
      <c r="P130" s="37">
        <v>0</v>
      </c>
      <c r="Q130" s="37">
        <v>0</v>
      </c>
      <c r="R130" s="37">
        <f t="shared" si="80"/>
        <v>335</v>
      </c>
      <c r="S130" s="37">
        <f t="shared" si="81"/>
        <v>300</v>
      </c>
      <c r="T130" s="37">
        <f t="shared" si="81"/>
        <v>0</v>
      </c>
      <c r="U130" s="37">
        <f t="shared" si="81"/>
        <v>35</v>
      </c>
      <c r="V130" s="37">
        <f t="shared" si="82"/>
        <v>0</v>
      </c>
      <c r="W130" s="38">
        <f t="shared" si="72"/>
        <v>0</v>
      </c>
      <c r="X130" s="38">
        <f t="shared" si="73"/>
        <v>0</v>
      </c>
      <c r="Y130" s="38"/>
      <c r="Z130" s="38">
        <f t="shared" si="74"/>
        <v>0</v>
      </c>
      <c r="AA130" s="38"/>
    </row>
    <row r="131" spans="1:27" ht="15.75" hidden="1" customHeight="1">
      <c r="A131" s="35" t="s">
        <v>48</v>
      </c>
      <c r="B131" s="36" t="s">
        <v>59</v>
      </c>
      <c r="C131" s="37">
        <f t="shared" si="76"/>
        <v>100</v>
      </c>
      <c r="D131" s="37">
        <f t="shared" si="77"/>
        <v>0</v>
      </c>
      <c r="E131" s="37">
        <v>0</v>
      </c>
      <c r="F131" s="37">
        <v>0</v>
      </c>
      <c r="G131" s="37">
        <v>0</v>
      </c>
      <c r="H131" s="37">
        <f t="shared" si="78"/>
        <v>100</v>
      </c>
      <c r="I131" s="37">
        <v>100</v>
      </c>
      <c r="J131" s="37">
        <v>0</v>
      </c>
      <c r="K131" s="37">
        <v>0</v>
      </c>
      <c r="L131" s="37">
        <v>0</v>
      </c>
      <c r="M131" s="37">
        <f t="shared" si="79"/>
        <v>0</v>
      </c>
      <c r="N131" s="37">
        <v>0</v>
      </c>
      <c r="O131" s="37">
        <v>0</v>
      </c>
      <c r="P131" s="37">
        <v>0</v>
      </c>
      <c r="Q131" s="37">
        <v>0</v>
      </c>
      <c r="R131" s="37">
        <f t="shared" si="80"/>
        <v>100</v>
      </c>
      <c r="S131" s="37">
        <f t="shared" si="81"/>
        <v>100</v>
      </c>
      <c r="T131" s="37">
        <f t="shared" si="81"/>
        <v>0</v>
      </c>
      <c r="U131" s="37">
        <f t="shared" si="81"/>
        <v>0</v>
      </c>
      <c r="V131" s="37">
        <f t="shared" si="82"/>
        <v>0</v>
      </c>
      <c r="W131" s="38">
        <f t="shared" si="72"/>
        <v>0</v>
      </c>
      <c r="X131" s="38">
        <f t="shared" si="73"/>
        <v>0</v>
      </c>
      <c r="Y131" s="38"/>
      <c r="Z131" s="38"/>
      <c r="AA131" s="38"/>
    </row>
    <row r="132" spans="1:27" ht="15.75" hidden="1" customHeight="1">
      <c r="A132" s="35" t="s">
        <v>48</v>
      </c>
      <c r="B132" s="36" t="s">
        <v>60</v>
      </c>
      <c r="C132" s="37">
        <f t="shared" si="76"/>
        <v>300</v>
      </c>
      <c r="D132" s="37">
        <f t="shared" si="77"/>
        <v>0</v>
      </c>
      <c r="E132" s="37">
        <v>0</v>
      </c>
      <c r="F132" s="37">
        <v>0</v>
      </c>
      <c r="G132" s="37">
        <v>0</v>
      </c>
      <c r="H132" s="37">
        <f t="shared" si="78"/>
        <v>300</v>
      </c>
      <c r="I132" s="37">
        <v>300</v>
      </c>
      <c r="J132" s="37">
        <v>0</v>
      </c>
      <c r="K132" s="37">
        <v>0</v>
      </c>
      <c r="L132" s="37">
        <v>0</v>
      </c>
      <c r="M132" s="37">
        <f t="shared" si="79"/>
        <v>0</v>
      </c>
      <c r="N132" s="37">
        <v>0</v>
      </c>
      <c r="O132" s="37">
        <v>0</v>
      </c>
      <c r="P132" s="37">
        <v>0</v>
      </c>
      <c r="Q132" s="37">
        <v>0</v>
      </c>
      <c r="R132" s="37">
        <f t="shared" si="80"/>
        <v>300</v>
      </c>
      <c r="S132" s="37">
        <f t="shared" si="81"/>
        <v>300</v>
      </c>
      <c r="T132" s="37">
        <f t="shared" si="81"/>
        <v>0</v>
      </c>
      <c r="U132" s="37">
        <f t="shared" si="81"/>
        <v>0</v>
      </c>
      <c r="V132" s="37">
        <f t="shared" si="82"/>
        <v>0</v>
      </c>
      <c r="W132" s="38">
        <f t="shared" si="72"/>
        <v>0</v>
      </c>
      <c r="X132" s="38">
        <f t="shared" si="73"/>
        <v>0</v>
      </c>
      <c r="Y132" s="38"/>
      <c r="Z132" s="38"/>
      <c r="AA132" s="38"/>
    </row>
    <row r="133" spans="1:27" ht="21" hidden="1">
      <c r="A133" s="35" t="s">
        <v>48</v>
      </c>
      <c r="B133" s="36" t="s">
        <v>61</v>
      </c>
      <c r="C133" s="37">
        <f t="shared" si="76"/>
        <v>145</v>
      </c>
      <c r="D133" s="37">
        <f t="shared" si="77"/>
        <v>0</v>
      </c>
      <c r="E133" s="37">
        <v>0</v>
      </c>
      <c r="F133" s="37">
        <v>0</v>
      </c>
      <c r="G133" s="37">
        <v>0</v>
      </c>
      <c r="H133" s="37">
        <f t="shared" si="78"/>
        <v>145</v>
      </c>
      <c r="I133" s="37">
        <v>139</v>
      </c>
      <c r="J133" s="37">
        <v>0</v>
      </c>
      <c r="K133" s="37">
        <v>6</v>
      </c>
      <c r="L133" s="37">
        <v>0</v>
      </c>
      <c r="M133" s="37">
        <f t="shared" si="79"/>
        <v>0</v>
      </c>
      <c r="N133" s="37">
        <v>0</v>
      </c>
      <c r="O133" s="37">
        <v>0</v>
      </c>
      <c r="P133" s="37">
        <v>0</v>
      </c>
      <c r="Q133" s="37">
        <v>0</v>
      </c>
      <c r="R133" s="37">
        <f t="shared" si="80"/>
        <v>145</v>
      </c>
      <c r="S133" s="37">
        <f t="shared" si="81"/>
        <v>139</v>
      </c>
      <c r="T133" s="37">
        <f t="shared" si="81"/>
        <v>0</v>
      </c>
      <c r="U133" s="37">
        <f t="shared" si="81"/>
        <v>6</v>
      </c>
      <c r="V133" s="37">
        <f t="shared" si="82"/>
        <v>0</v>
      </c>
      <c r="W133" s="38">
        <f t="shared" si="72"/>
        <v>0</v>
      </c>
      <c r="X133" s="38">
        <f t="shared" si="73"/>
        <v>0</v>
      </c>
      <c r="Y133" s="38"/>
      <c r="Z133" s="38">
        <f t="shared" si="74"/>
        <v>0</v>
      </c>
      <c r="AA133" s="38"/>
    </row>
    <row r="134" spans="1:27" ht="18.75" hidden="1" customHeight="1">
      <c r="A134" s="35" t="s">
        <v>48</v>
      </c>
      <c r="B134" s="36" t="s">
        <v>62</v>
      </c>
      <c r="C134" s="37">
        <f t="shared" si="76"/>
        <v>1186</v>
      </c>
      <c r="D134" s="37">
        <f t="shared" si="77"/>
        <v>0</v>
      </c>
      <c r="E134" s="37">
        <v>0</v>
      </c>
      <c r="F134" s="37">
        <v>0</v>
      </c>
      <c r="G134" s="37">
        <v>0</v>
      </c>
      <c r="H134" s="37">
        <f t="shared" si="78"/>
        <v>1186</v>
      </c>
      <c r="I134" s="37">
        <v>1141</v>
      </c>
      <c r="J134" s="37">
        <v>0</v>
      </c>
      <c r="K134" s="37">
        <v>45</v>
      </c>
      <c r="L134" s="37">
        <v>0</v>
      </c>
      <c r="M134" s="37">
        <f t="shared" si="79"/>
        <v>50</v>
      </c>
      <c r="N134" s="37">
        <v>50</v>
      </c>
      <c r="O134" s="37">
        <v>0</v>
      </c>
      <c r="P134" s="37">
        <v>0</v>
      </c>
      <c r="Q134" s="37">
        <v>0</v>
      </c>
      <c r="R134" s="37">
        <f t="shared" si="80"/>
        <v>1136</v>
      </c>
      <c r="S134" s="37">
        <f t="shared" si="81"/>
        <v>1091</v>
      </c>
      <c r="T134" s="37">
        <f t="shared" si="81"/>
        <v>0</v>
      </c>
      <c r="U134" s="37">
        <f t="shared" si="81"/>
        <v>45</v>
      </c>
      <c r="V134" s="37">
        <f t="shared" si="82"/>
        <v>0</v>
      </c>
      <c r="W134" s="38">
        <f t="shared" si="72"/>
        <v>4.2158516020236091E-2</v>
      </c>
      <c r="X134" s="38">
        <f t="shared" si="73"/>
        <v>4.3821209465381247E-2</v>
      </c>
      <c r="Y134" s="38"/>
      <c r="Z134" s="38">
        <f t="shared" si="74"/>
        <v>0</v>
      </c>
      <c r="AA134" s="38"/>
    </row>
    <row r="135" spans="1:27" ht="22.5" hidden="1" customHeight="1">
      <c r="A135" s="35" t="s">
        <v>48</v>
      </c>
      <c r="B135" s="36" t="s">
        <v>63</v>
      </c>
      <c r="C135" s="37">
        <f t="shared" si="76"/>
        <v>0</v>
      </c>
      <c r="D135" s="37">
        <f t="shared" si="77"/>
        <v>0</v>
      </c>
      <c r="E135" s="37">
        <v>0</v>
      </c>
      <c r="F135" s="37">
        <v>0</v>
      </c>
      <c r="G135" s="37">
        <v>0</v>
      </c>
      <c r="H135" s="37">
        <f t="shared" si="78"/>
        <v>0</v>
      </c>
      <c r="I135" s="37">
        <v>0</v>
      </c>
      <c r="J135" s="37">
        <v>0</v>
      </c>
      <c r="K135" s="37">
        <v>0</v>
      </c>
      <c r="L135" s="37">
        <v>0</v>
      </c>
      <c r="M135" s="37">
        <f t="shared" si="79"/>
        <v>0</v>
      </c>
      <c r="N135" s="37">
        <v>0</v>
      </c>
      <c r="O135" s="37">
        <v>0</v>
      </c>
      <c r="P135" s="37">
        <v>0</v>
      </c>
      <c r="Q135" s="37">
        <v>0</v>
      </c>
      <c r="R135" s="37">
        <f t="shared" si="80"/>
        <v>0</v>
      </c>
      <c r="S135" s="37">
        <f t="shared" si="81"/>
        <v>0</v>
      </c>
      <c r="T135" s="37">
        <f t="shared" si="81"/>
        <v>0</v>
      </c>
      <c r="U135" s="37">
        <f t="shared" si="81"/>
        <v>0</v>
      </c>
      <c r="V135" s="37">
        <f t="shared" si="82"/>
        <v>0</v>
      </c>
      <c r="W135" s="38"/>
      <c r="X135" s="38"/>
      <c r="Y135" s="38"/>
      <c r="Z135" s="38"/>
      <c r="AA135" s="38"/>
    </row>
    <row r="136" spans="1:27" s="12" customFormat="1" ht="15.75" customHeight="1">
      <c r="A136" s="31" t="s">
        <v>74</v>
      </c>
      <c r="B136" s="32" t="s">
        <v>75</v>
      </c>
      <c r="C136" s="33">
        <f>+C137+C138</f>
        <v>28653</v>
      </c>
      <c r="D136" s="33">
        <f t="shared" ref="D136:V136" si="83">+D137+D138</f>
        <v>198</v>
      </c>
      <c r="E136" s="33">
        <f t="shared" si="83"/>
        <v>198</v>
      </c>
      <c r="F136" s="33">
        <f t="shared" si="83"/>
        <v>0</v>
      </c>
      <c r="G136" s="33">
        <f t="shared" si="83"/>
        <v>0</v>
      </c>
      <c r="H136" s="33">
        <f t="shared" si="83"/>
        <v>28455</v>
      </c>
      <c r="I136" s="33">
        <f t="shared" si="83"/>
        <v>17095</v>
      </c>
      <c r="J136" s="33">
        <f t="shared" si="83"/>
        <v>0</v>
      </c>
      <c r="K136" s="33">
        <f t="shared" si="83"/>
        <v>0</v>
      </c>
      <c r="L136" s="33">
        <f t="shared" si="83"/>
        <v>11360</v>
      </c>
      <c r="M136" s="33">
        <f t="shared" si="83"/>
        <v>11022.74</v>
      </c>
      <c r="N136" s="33">
        <f t="shared" si="83"/>
        <v>5975.74</v>
      </c>
      <c r="O136" s="33">
        <f t="shared" si="83"/>
        <v>0</v>
      </c>
      <c r="P136" s="33">
        <f t="shared" si="83"/>
        <v>0</v>
      </c>
      <c r="Q136" s="33">
        <f t="shared" si="83"/>
        <v>5047</v>
      </c>
      <c r="R136" s="33">
        <f t="shared" si="83"/>
        <v>17630.260000000002</v>
      </c>
      <c r="S136" s="33">
        <f t="shared" si="83"/>
        <v>11317.26</v>
      </c>
      <c r="T136" s="33">
        <f t="shared" si="83"/>
        <v>0</v>
      </c>
      <c r="U136" s="33">
        <f t="shared" si="83"/>
        <v>0</v>
      </c>
      <c r="V136" s="33">
        <f t="shared" si="83"/>
        <v>6313</v>
      </c>
      <c r="W136" s="34">
        <f>M136/C136</f>
        <v>0.38469758838516038</v>
      </c>
      <c r="X136" s="34">
        <f>N136/(E136+I136)</f>
        <v>0.34555831839472617</v>
      </c>
      <c r="Y136" s="34"/>
      <c r="Z136" s="34"/>
      <c r="AA136" s="34">
        <f>Q136/L136</f>
        <v>0.44427816901408451</v>
      </c>
    </row>
    <row r="137" spans="1:27" ht="18.75" customHeight="1">
      <c r="A137" s="35" t="s">
        <v>45</v>
      </c>
      <c r="B137" s="36" t="s">
        <v>46</v>
      </c>
      <c r="C137" s="37">
        <f>+D137+H137</f>
        <v>18798</v>
      </c>
      <c r="D137" s="37">
        <f>SUM(E137:G137)</f>
        <v>198</v>
      </c>
      <c r="E137" s="37">
        <v>198</v>
      </c>
      <c r="F137" s="37">
        <v>0</v>
      </c>
      <c r="G137" s="37">
        <v>0</v>
      </c>
      <c r="H137" s="37">
        <f>SUM(I137:L137)</f>
        <v>18600</v>
      </c>
      <c r="I137" s="37">
        <v>7240</v>
      </c>
      <c r="J137" s="37">
        <v>0</v>
      </c>
      <c r="K137" s="37">
        <v>0</v>
      </c>
      <c r="L137" s="37">
        <v>11360</v>
      </c>
      <c r="M137" s="37">
        <f>SUM(N137:Q137)</f>
        <v>8776</v>
      </c>
      <c r="N137" s="37">
        <v>3729</v>
      </c>
      <c r="O137" s="37">
        <v>0</v>
      </c>
      <c r="P137" s="37">
        <v>0</v>
      </c>
      <c r="Q137" s="37">
        <v>5047</v>
      </c>
      <c r="R137" s="37">
        <f>SUM(S137:V137)</f>
        <v>10022</v>
      </c>
      <c r="S137" s="37">
        <f>(E137+I137)-N137</f>
        <v>3709</v>
      </c>
      <c r="T137" s="37">
        <f>(F137+J137)-O137</f>
        <v>0</v>
      </c>
      <c r="U137" s="37">
        <f>(G137+K137)-P137</f>
        <v>0</v>
      </c>
      <c r="V137" s="37">
        <f>L137-Q137</f>
        <v>6313</v>
      </c>
      <c r="W137" s="38">
        <f t="shared" ref="W137:W153" si="84">M137/C137</f>
        <v>0.46685817640174487</v>
      </c>
      <c r="X137" s="38">
        <f t="shared" ref="X137:X153" si="85">N137/(E137+I137)</f>
        <v>0.50134444743210538</v>
      </c>
      <c r="Y137" s="38"/>
      <c r="Z137" s="38"/>
      <c r="AA137" s="38">
        <f>Q137/L137</f>
        <v>0.44427816901408451</v>
      </c>
    </row>
    <row r="138" spans="1:27" ht="15.75" customHeight="1">
      <c r="A138" s="35" t="s">
        <v>45</v>
      </c>
      <c r="B138" s="36" t="s">
        <v>47</v>
      </c>
      <c r="C138" s="37">
        <f t="shared" ref="C138:V138" si="86">SUM(C139:C153)</f>
        <v>9855</v>
      </c>
      <c r="D138" s="37">
        <f t="shared" si="86"/>
        <v>0</v>
      </c>
      <c r="E138" s="37">
        <f t="shared" si="86"/>
        <v>0</v>
      </c>
      <c r="F138" s="37">
        <f t="shared" si="86"/>
        <v>0</v>
      </c>
      <c r="G138" s="37">
        <f t="shared" si="86"/>
        <v>0</v>
      </c>
      <c r="H138" s="37">
        <f t="shared" si="86"/>
        <v>9855</v>
      </c>
      <c r="I138" s="37">
        <f t="shared" si="86"/>
        <v>9855</v>
      </c>
      <c r="J138" s="37">
        <f t="shared" si="86"/>
        <v>0</v>
      </c>
      <c r="K138" s="37">
        <f t="shared" si="86"/>
        <v>0</v>
      </c>
      <c r="L138" s="37">
        <f t="shared" si="86"/>
        <v>0</v>
      </c>
      <c r="M138" s="37">
        <f t="shared" si="86"/>
        <v>2246.7399999999998</v>
      </c>
      <c r="N138" s="37">
        <f t="shared" si="86"/>
        <v>2246.7399999999998</v>
      </c>
      <c r="O138" s="37">
        <f t="shared" si="86"/>
        <v>0</v>
      </c>
      <c r="P138" s="37">
        <f t="shared" si="86"/>
        <v>0</v>
      </c>
      <c r="Q138" s="37">
        <f t="shared" si="86"/>
        <v>0</v>
      </c>
      <c r="R138" s="37">
        <f t="shared" si="86"/>
        <v>7608.26</v>
      </c>
      <c r="S138" s="37">
        <f t="shared" si="86"/>
        <v>7608.26</v>
      </c>
      <c r="T138" s="37">
        <f t="shared" si="86"/>
        <v>0</v>
      </c>
      <c r="U138" s="37">
        <f t="shared" si="86"/>
        <v>0</v>
      </c>
      <c r="V138" s="37">
        <f t="shared" si="86"/>
        <v>0</v>
      </c>
      <c r="W138" s="38">
        <f t="shared" si="84"/>
        <v>0.22797970573313037</v>
      </c>
      <c r="X138" s="38">
        <f t="shared" si="85"/>
        <v>0.22797970573313037</v>
      </c>
      <c r="Y138" s="38"/>
      <c r="Z138" s="38"/>
      <c r="AA138" s="38"/>
    </row>
    <row r="139" spans="1:27" ht="15.75" hidden="1" customHeight="1">
      <c r="A139" s="35" t="s">
        <v>48</v>
      </c>
      <c r="B139" s="36" t="s">
        <v>49</v>
      </c>
      <c r="C139" s="37">
        <f t="shared" ref="C139:C153" si="87">+D139+H139</f>
        <v>2900</v>
      </c>
      <c r="D139" s="37">
        <f t="shared" ref="D139:D153" si="88">SUM(E139:G139)</f>
        <v>0</v>
      </c>
      <c r="E139" s="37">
        <v>0</v>
      </c>
      <c r="F139" s="37">
        <v>0</v>
      </c>
      <c r="G139" s="37">
        <v>0</v>
      </c>
      <c r="H139" s="37">
        <f t="shared" ref="H139:H153" si="89">SUM(I139:L139)</f>
        <v>2900</v>
      </c>
      <c r="I139" s="37">
        <v>2900</v>
      </c>
      <c r="J139" s="37">
        <v>0</v>
      </c>
      <c r="K139" s="37">
        <v>0</v>
      </c>
      <c r="L139" s="37">
        <v>0</v>
      </c>
      <c r="M139" s="37">
        <f t="shared" ref="M139:M153" si="90">SUM(N139:Q139)</f>
        <v>1041.3799999999999</v>
      </c>
      <c r="N139" s="37">
        <v>1041.3799999999999</v>
      </c>
      <c r="O139" s="37">
        <v>0</v>
      </c>
      <c r="P139" s="37">
        <v>0</v>
      </c>
      <c r="Q139" s="37">
        <v>0</v>
      </c>
      <c r="R139" s="37">
        <f t="shared" ref="R139:R153" si="91">SUM(S139:V139)</f>
        <v>1858.6200000000001</v>
      </c>
      <c r="S139" s="37">
        <f t="shared" ref="S139:U153" si="92">(E139+I139)-N139</f>
        <v>1858.6200000000001</v>
      </c>
      <c r="T139" s="37">
        <f t="shared" si="92"/>
        <v>0</v>
      </c>
      <c r="U139" s="37">
        <f t="shared" si="92"/>
        <v>0</v>
      </c>
      <c r="V139" s="37">
        <f t="shared" ref="V139:V153" si="93">L139-Q139</f>
        <v>0</v>
      </c>
      <c r="W139" s="38">
        <f t="shared" si="84"/>
        <v>0.3590965517241379</v>
      </c>
      <c r="X139" s="38">
        <f t="shared" si="85"/>
        <v>0.3590965517241379</v>
      </c>
      <c r="Y139" s="38"/>
      <c r="Z139" s="38"/>
      <c r="AA139" s="38"/>
    </row>
    <row r="140" spans="1:27" ht="15.75" hidden="1" customHeight="1">
      <c r="A140" s="35" t="s">
        <v>48</v>
      </c>
      <c r="B140" s="36" t="s">
        <v>50</v>
      </c>
      <c r="C140" s="37">
        <f t="shared" si="87"/>
        <v>2130</v>
      </c>
      <c r="D140" s="37">
        <f t="shared" si="88"/>
        <v>0</v>
      </c>
      <c r="E140" s="37">
        <v>0</v>
      </c>
      <c r="F140" s="37">
        <v>0</v>
      </c>
      <c r="G140" s="37">
        <v>0</v>
      </c>
      <c r="H140" s="37">
        <f t="shared" si="89"/>
        <v>2130</v>
      </c>
      <c r="I140" s="37">
        <v>2130</v>
      </c>
      <c r="J140" s="37">
        <v>0</v>
      </c>
      <c r="K140" s="37">
        <v>0</v>
      </c>
      <c r="L140" s="37">
        <v>0</v>
      </c>
      <c r="M140" s="37">
        <f t="shared" si="90"/>
        <v>393.4</v>
      </c>
      <c r="N140" s="37">
        <v>393.4</v>
      </c>
      <c r="O140" s="37">
        <v>0</v>
      </c>
      <c r="P140" s="37">
        <v>0</v>
      </c>
      <c r="Q140" s="37">
        <v>0</v>
      </c>
      <c r="R140" s="37">
        <f t="shared" si="91"/>
        <v>1736.6</v>
      </c>
      <c r="S140" s="37">
        <f t="shared" si="92"/>
        <v>1736.6</v>
      </c>
      <c r="T140" s="37">
        <f t="shared" si="92"/>
        <v>0</v>
      </c>
      <c r="U140" s="37">
        <f t="shared" si="92"/>
        <v>0</v>
      </c>
      <c r="V140" s="37">
        <f t="shared" si="93"/>
        <v>0</v>
      </c>
      <c r="W140" s="38">
        <f t="shared" si="84"/>
        <v>0.18469483568075115</v>
      </c>
      <c r="X140" s="38">
        <f t="shared" si="85"/>
        <v>0.18469483568075115</v>
      </c>
      <c r="Y140" s="38"/>
      <c r="Z140" s="38"/>
      <c r="AA140" s="38"/>
    </row>
    <row r="141" spans="1:27" ht="15.75" hidden="1" customHeight="1">
      <c r="A141" s="35" t="s">
        <v>48</v>
      </c>
      <c r="B141" s="36" t="s">
        <v>51</v>
      </c>
      <c r="C141" s="37">
        <f t="shared" si="87"/>
        <v>255</v>
      </c>
      <c r="D141" s="37">
        <f t="shared" si="88"/>
        <v>0</v>
      </c>
      <c r="E141" s="37">
        <v>0</v>
      </c>
      <c r="F141" s="37">
        <v>0</v>
      </c>
      <c r="G141" s="37">
        <v>0</v>
      </c>
      <c r="H141" s="37">
        <f t="shared" si="89"/>
        <v>255</v>
      </c>
      <c r="I141" s="37">
        <v>255</v>
      </c>
      <c r="J141" s="37">
        <v>0</v>
      </c>
      <c r="K141" s="37">
        <v>0</v>
      </c>
      <c r="L141" s="37">
        <v>0</v>
      </c>
      <c r="M141" s="37">
        <f t="shared" si="90"/>
        <v>7.5</v>
      </c>
      <c r="N141" s="37">
        <v>7.5</v>
      </c>
      <c r="O141" s="37">
        <v>0</v>
      </c>
      <c r="P141" s="37">
        <v>0</v>
      </c>
      <c r="Q141" s="37">
        <v>0</v>
      </c>
      <c r="R141" s="37">
        <f t="shared" si="91"/>
        <v>247.5</v>
      </c>
      <c r="S141" s="37">
        <f t="shared" si="92"/>
        <v>247.5</v>
      </c>
      <c r="T141" s="37">
        <f t="shared" si="92"/>
        <v>0</v>
      </c>
      <c r="U141" s="37">
        <f t="shared" si="92"/>
        <v>0</v>
      </c>
      <c r="V141" s="37">
        <f t="shared" si="93"/>
        <v>0</v>
      </c>
      <c r="W141" s="38">
        <f t="shared" si="84"/>
        <v>2.9411764705882353E-2</v>
      </c>
      <c r="X141" s="38">
        <f t="shared" si="85"/>
        <v>2.9411764705882353E-2</v>
      </c>
      <c r="Y141" s="38"/>
      <c r="Z141" s="38"/>
      <c r="AA141" s="38"/>
    </row>
    <row r="142" spans="1:27" ht="24" hidden="1" customHeight="1">
      <c r="A142" s="35" t="s">
        <v>48</v>
      </c>
      <c r="B142" s="36" t="s">
        <v>52</v>
      </c>
      <c r="C142" s="37">
        <f t="shared" si="87"/>
        <v>255</v>
      </c>
      <c r="D142" s="37">
        <f t="shared" si="88"/>
        <v>0</v>
      </c>
      <c r="E142" s="37">
        <v>0</v>
      </c>
      <c r="F142" s="37">
        <v>0</v>
      </c>
      <c r="G142" s="37">
        <v>0</v>
      </c>
      <c r="H142" s="37">
        <f t="shared" si="89"/>
        <v>255</v>
      </c>
      <c r="I142" s="37">
        <v>255</v>
      </c>
      <c r="J142" s="37">
        <v>0</v>
      </c>
      <c r="K142" s="37">
        <v>0</v>
      </c>
      <c r="L142" s="37">
        <v>0</v>
      </c>
      <c r="M142" s="37">
        <f t="shared" si="90"/>
        <v>7.5</v>
      </c>
      <c r="N142" s="37">
        <v>7.5</v>
      </c>
      <c r="O142" s="37">
        <v>0</v>
      </c>
      <c r="P142" s="37">
        <v>0</v>
      </c>
      <c r="Q142" s="37">
        <v>0</v>
      </c>
      <c r="R142" s="37">
        <f t="shared" si="91"/>
        <v>247.5</v>
      </c>
      <c r="S142" s="37">
        <f t="shared" si="92"/>
        <v>247.5</v>
      </c>
      <c r="T142" s="37">
        <f t="shared" si="92"/>
        <v>0</v>
      </c>
      <c r="U142" s="37">
        <f t="shared" si="92"/>
        <v>0</v>
      </c>
      <c r="V142" s="37">
        <f t="shared" si="93"/>
        <v>0</v>
      </c>
      <c r="W142" s="38">
        <f t="shared" si="84"/>
        <v>2.9411764705882353E-2</v>
      </c>
      <c r="X142" s="38">
        <f t="shared" si="85"/>
        <v>2.9411764705882353E-2</v>
      </c>
      <c r="Y142" s="38"/>
      <c r="Z142" s="38"/>
      <c r="AA142" s="38"/>
    </row>
    <row r="143" spans="1:27" ht="25.5" hidden="1" customHeight="1">
      <c r="A143" s="35" t="s">
        <v>48</v>
      </c>
      <c r="B143" s="36" t="s">
        <v>53</v>
      </c>
      <c r="C143" s="37">
        <f t="shared" si="87"/>
        <v>200</v>
      </c>
      <c r="D143" s="37">
        <f t="shared" si="88"/>
        <v>0</v>
      </c>
      <c r="E143" s="37">
        <v>0</v>
      </c>
      <c r="F143" s="37">
        <v>0</v>
      </c>
      <c r="G143" s="37">
        <v>0</v>
      </c>
      <c r="H143" s="37">
        <f t="shared" si="89"/>
        <v>200</v>
      </c>
      <c r="I143" s="37">
        <v>200</v>
      </c>
      <c r="J143" s="37">
        <v>0</v>
      </c>
      <c r="K143" s="37">
        <v>0</v>
      </c>
      <c r="L143" s="37">
        <v>0</v>
      </c>
      <c r="M143" s="37">
        <f t="shared" si="90"/>
        <v>0</v>
      </c>
      <c r="N143" s="37">
        <v>0</v>
      </c>
      <c r="O143" s="37">
        <v>0</v>
      </c>
      <c r="P143" s="37">
        <v>0</v>
      </c>
      <c r="Q143" s="37">
        <v>0</v>
      </c>
      <c r="R143" s="37">
        <f t="shared" si="91"/>
        <v>200</v>
      </c>
      <c r="S143" s="37">
        <f t="shared" si="92"/>
        <v>200</v>
      </c>
      <c r="T143" s="37">
        <f t="shared" si="92"/>
        <v>0</v>
      </c>
      <c r="U143" s="37">
        <f t="shared" si="92"/>
        <v>0</v>
      </c>
      <c r="V143" s="37">
        <f t="shared" si="93"/>
        <v>0</v>
      </c>
      <c r="W143" s="38">
        <f t="shared" si="84"/>
        <v>0</v>
      </c>
      <c r="X143" s="38">
        <f t="shared" si="85"/>
        <v>0</v>
      </c>
      <c r="Y143" s="38"/>
      <c r="Z143" s="38"/>
      <c r="AA143" s="38"/>
    </row>
    <row r="144" spans="1:27" ht="26.25" hidden="1" customHeight="1">
      <c r="A144" s="35" t="s">
        <v>48</v>
      </c>
      <c r="B144" s="36" t="s">
        <v>54</v>
      </c>
      <c r="C144" s="37">
        <f t="shared" si="87"/>
        <v>0</v>
      </c>
      <c r="D144" s="37">
        <f t="shared" si="88"/>
        <v>0</v>
      </c>
      <c r="E144" s="37">
        <v>0</v>
      </c>
      <c r="F144" s="37">
        <v>0</v>
      </c>
      <c r="G144" s="37">
        <v>0</v>
      </c>
      <c r="H144" s="37">
        <f t="shared" si="89"/>
        <v>0</v>
      </c>
      <c r="I144" s="37">
        <v>0</v>
      </c>
      <c r="J144" s="37">
        <v>0</v>
      </c>
      <c r="K144" s="37">
        <v>0</v>
      </c>
      <c r="L144" s="37">
        <v>0</v>
      </c>
      <c r="M144" s="37">
        <f t="shared" si="90"/>
        <v>0</v>
      </c>
      <c r="N144" s="37">
        <v>0</v>
      </c>
      <c r="O144" s="37">
        <v>0</v>
      </c>
      <c r="P144" s="37">
        <v>0</v>
      </c>
      <c r="Q144" s="37">
        <v>0</v>
      </c>
      <c r="R144" s="37">
        <f t="shared" si="91"/>
        <v>0</v>
      </c>
      <c r="S144" s="37">
        <f t="shared" si="92"/>
        <v>0</v>
      </c>
      <c r="T144" s="37">
        <f t="shared" si="92"/>
        <v>0</v>
      </c>
      <c r="U144" s="37">
        <f t="shared" si="92"/>
        <v>0</v>
      </c>
      <c r="V144" s="37">
        <f t="shared" si="93"/>
        <v>0</v>
      </c>
      <c r="W144" s="38"/>
      <c r="X144" s="38"/>
      <c r="Y144" s="38"/>
      <c r="Z144" s="38"/>
      <c r="AA144" s="38"/>
    </row>
    <row r="145" spans="1:27" ht="20.25" hidden="1" customHeight="1">
      <c r="A145" s="35" t="s">
        <v>48</v>
      </c>
      <c r="B145" s="36" t="s">
        <v>55</v>
      </c>
      <c r="C145" s="37">
        <f t="shared" si="87"/>
        <v>340</v>
      </c>
      <c r="D145" s="37">
        <f t="shared" si="88"/>
        <v>0</v>
      </c>
      <c r="E145" s="37">
        <v>0</v>
      </c>
      <c r="F145" s="37">
        <v>0</v>
      </c>
      <c r="G145" s="37">
        <v>0</v>
      </c>
      <c r="H145" s="37">
        <f t="shared" si="89"/>
        <v>340</v>
      </c>
      <c r="I145" s="37">
        <v>340</v>
      </c>
      <c r="J145" s="37">
        <v>0</v>
      </c>
      <c r="K145" s="37">
        <v>0</v>
      </c>
      <c r="L145" s="37">
        <v>0</v>
      </c>
      <c r="M145" s="37">
        <f t="shared" si="90"/>
        <v>83.8</v>
      </c>
      <c r="N145" s="37">
        <v>83.8</v>
      </c>
      <c r="O145" s="37">
        <v>0</v>
      </c>
      <c r="P145" s="37">
        <v>0</v>
      </c>
      <c r="Q145" s="37">
        <v>0</v>
      </c>
      <c r="R145" s="37">
        <f t="shared" si="91"/>
        <v>256.2</v>
      </c>
      <c r="S145" s="37">
        <f t="shared" si="92"/>
        <v>256.2</v>
      </c>
      <c r="T145" s="37">
        <f t="shared" si="92"/>
        <v>0</v>
      </c>
      <c r="U145" s="37">
        <f t="shared" si="92"/>
        <v>0</v>
      </c>
      <c r="V145" s="37">
        <f t="shared" si="93"/>
        <v>0</v>
      </c>
      <c r="W145" s="38">
        <f t="shared" si="84"/>
        <v>0.24647058823529411</v>
      </c>
      <c r="X145" s="38">
        <f t="shared" si="85"/>
        <v>0.24647058823529411</v>
      </c>
      <c r="Y145" s="38"/>
      <c r="Z145" s="38"/>
      <c r="AA145" s="38"/>
    </row>
    <row r="146" spans="1:27" ht="15.75" hidden="1" customHeight="1">
      <c r="A146" s="35" t="s">
        <v>48</v>
      </c>
      <c r="B146" s="36" t="s">
        <v>56</v>
      </c>
      <c r="C146" s="37">
        <f t="shared" si="87"/>
        <v>1020</v>
      </c>
      <c r="D146" s="37">
        <f t="shared" si="88"/>
        <v>0</v>
      </c>
      <c r="E146" s="37">
        <v>0</v>
      </c>
      <c r="F146" s="37">
        <v>0</v>
      </c>
      <c r="G146" s="37">
        <v>0</v>
      </c>
      <c r="H146" s="37">
        <f t="shared" si="89"/>
        <v>1020</v>
      </c>
      <c r="I146" s="37">
        <v>1020</v>
      </c>
      <c r="J146" s="37">
        <v>0</v>
      </c>
      <c r="K146" s="37">
        <v>0</v>
      </c>
      <c r="L146" s="37">
        <v>0</v>
      </c>
      <c r="M146" s="37">
        <f t="shared" si="90"/>
        <v>389.95000000000005</v>
      </c>
      <c r="N146" s="37">
        <v>389.95000000000005</v>
      </c>
      <c r="O146" s="37">
        <v>0</v>
      </c>
      <c r="P146" s="37">
        <v>0</v>
      </c>
      <c r="Q146" s="37">
        <v>0</v>
      </c>
      <c r="R146" s="37">
        <f t="shared" si="91"/>
        <v>630.04999999999995</v>
      </c>
      <c r="S146" s="37">
        <f t="shared" si="92"/>
        <v>630.04999999999995</v>
      </c>
      <c r="T146" s="37">
        <f t="shared" si="92"/>
        <v>0</v>
      </c>
      <c r="U146" s="37">
        <f t="shared" si="92"/>
        <v>0</v>
      </c>
      <c r="V146" s="37">
        <f t="shared" si="93"/>
        <v>0</v>
      </c>
      <c r="W146" s="38">
        <f t="shared" si="84"/>
        <v>0.38230392156862747</v>
      </c>
      <c r="X146" s="38">
        <f t="shared" si="85"/>
        <v>0.38230392156862747</v>
      </c>
      <c r="Y146" s="38"/>
      <c r="Z146" s="38"/>
      <c r="AA146" s="38"/>
    </row>
    <row r="147" spans="1:27" ht="15.75" hidden="1" customHeight="1">
      <c r="A147" s="35" t="s">
        <v>48</v>
      </c>
      <c r="B147" s="36" t="s">
        <v>57</v>
      </c>
      <c r="C147" s="37">
        <f t="shared" si="87"/>
        <v>586</v>
      </c>
      <c r="D147" s="37">
        <f t="shared" si="88"/>
        <v>0</v>
      </c>
      <c r="E147" s="37">
        <v>0</v>
      </c>
      <c r="F147" s="37">
        <v>0</v>
      </c>
      <c r="G147" s="37">
        <v>0</v>
      </c>
      <c r="H147" s="37">
        <f t="shared" si="89"/>
        <v>586</v>
      </c>
      <c r="I147" s="37">
        <v>586</v>
      </c>
      <c r="J147" s="37">
        <v>0</v>
      </c>
      <c r="K147" s="37">
        <v>0</v>
      </c>
      <c r="L147" s="37">
        <v>0</v>
      </c>
      <c r="M147" s="37">
        <f t="shared" si="90"/>
        <v>240</v>
      </c>
      <c r="N147" s="37">
        <v>240</v>
      </c>
      <c r="O147" s="37">
        <v>0</v>
      </c>
      <c r="P147" s="37">
        <v>0</v>
      </c>
      <c r="Q147" s="37">
        <v>0</v>
      </c>
      <c r="R147" s="37">
        <f t="shared" si="91"/>
        <v>346</v>
      </c>
      <c r="S147" s="37">
        <f t="shared" si="92"/>
        <v>346</v>
      </c>
      <c r="T147" s="37">
        <f t="shared" si="92"/>
        <v>0</v>
      </c>
      <c r="U147" s="37">
        <f t="shared" si="92"/>
        <v>0</v>
      </c>
      <c r="V147" s="37">
        <f t="shared" si="93"/>
        <v>0</v>
      </c>
      <c r="W147" s="38">
        <f t="shared" si="84"/>
        <v>0.40955631399317405</v>
      </c>
      <c r="X147" s="38">
        <f t="shared" si="85"/>
        <v>0.40955631399317405</v>
      </c>
      <c r="Y147" s="38"/>
      <c r="Z147" s="38"/>
      <c r="AA147" s="38"/>
    </row>
    <row r="148" spans="1:27" ht="15.75" hidden="1" customHeight="1">
      <c r="A148" s="35" t="s">
        <v>48</v>
      </c>
      <c r="B148" s="36" t="s">
        <v>58</v>
      </c>
      <c r="C148" s="37">
        <f t="shared" si="87"/>
        <v>600</v>
      </c>
      <c r="D148" s="37">
        <f t="shared" si="88"/>
        <v>0</v>
      </c>
      <c r="E148" s="37">
        <v>0</v>
      </c>
      <c r="F148" s="37">
        <v>0</v>
      </c>
      <c r="G148" s="37">
        <v>0</v>
      </c>
      <c r="H148" s="37">
        <f t="shared" si="89"/>
        <v>600</v>
      </c>
      <c r="I148" s="37">
        <v>600</v>
      </c>
      <c r="J148" s="37">
        <v>0</v>
      </c>
      <c r="K148" s="37">
        <v>0</v>
      </c>
      <c r="L148" s="37">
        <v>0</v>
      </c>
      <c r="M148" s="37">
        <f t="shared" si="90"/>
        <v>0</v>
      </c>
      <c r="N148" s="37">
        <v>0</v>
      </c>
      <c r="O148" s="37">
        <v>0</v>
      </c>
      <c r="P148" s="37">
        <v>0</v>
      </c>
      <c r="Q148" s="37">
        <v>0</v>
      </c>
      <c r="R148" s="37">
        <f t="shared" si="91"/>
        <v>600</v>
      </c>
      <c r="S148" s="37">
        <f t="shared" si="92"/>
        <v>600</v>
      </c>
      <c r="T148" s="37">
        <f t="shared" si="92"/>
        <v>0</v>
      </c>
      <c r="U148" s="37">
        <f t="shared" si="92"/>
        <v>0</v>
      </c>
      <c r="V148" s="37">
        <f t="shared" si="93"/>
        <v>0</v>
      </c>
      <c r="W148" s="38">
        <f t="shared" si="84"/>
        <v>0</v>
      </c>
      <c r="X148" s="38">
        <f t="shared" si="85"/>
        <v>0</v>
      </c>
      <c r="Y148" s="38"/>
      <c r="Z148" s="38"/>
      <c r="AA148" s="38"/>
    </row>
    <row r="149" spans="1:27" ht="15.75" hidden="1" customHeight="1">
      <c r="A149" s="35" t="s">
        <v>48</v>
      </c>
      <c r="B149" s="36" t="s">
        <v>59</v>
      </c>
      <c r="C149" s="37">
        <f t="shared" si="87"/>
        <v>100</v>
      </c>
      <c r="D149" s="37">
        <f t="shared" si="88"/>
        <v>0</v>
      </c>
      <c r="E149" s="37">
        <v>0</v>
      </c>
      <c r="F149" s="37">
        <v>0</v>
      </c>
      <c r="G149" s="37">
        <v>0</v>
      </c>
      <c r="H149" s="37">
        <f t="shared" si="89"/>
        <v>100</v>
      </c>
      <c r="I149" s="37">
        <v>100</v>
      </c>
      <c r="J149" s="37">
        <v>0</v>
      </c>
      <c r="K149" s="37">
        <v>0</v>
      </c>
      <c r="L149" s="37">
        <v>0</v>
      </c>
      <c r="M149" s="37">
        <f t="shared" si="90"/>
        <v>0</v>
      </c>
      <c r="N149" s="37">
        <v>0</v>
      </c>
      <c r="O149" s="37">
        <v>0</v>
      </c>
      <c r="P149" s="37">
        <v>0</v>
      </c>
      <c r="Q149" s="37">
        <v>0</v>
      </c>
      <c r="R149" s="37">
        <f t="shared" si="91"/>
        <v>100</v>
      </c>
      <c r="S149" s="37">
        <f t="shared" si="92"/>
        <v>100</v>
      </c>
      <c r="T149" s="37">
        <f t="shared" si="92"/>
        <v>0</v>
      </c>
      <c r="U149" s="37">
        <f t="shared" si="92"/>
        <v>0</v>
      </c>
      <c r="V149" s="37">
        <f t="shared" si="93"/>
        <v>0</v>
      </c>
      <c r="W149" s="38">
        <f t="shared" si="84"/>
        <v>0</v>
      </c>
      <c r="X149" s="38">
        <f t="shared" si="85"/>
        <v>0</v>
      </c>
      <c r="Y149" s="38"/>
      <c r="Z149" s="38"/>
      <c r="AA149" s="38"/>
    </row>
    <row r="150" spans="1:27" ht="15.75" hidden="1" customHeight="1">
      <c r="A150" s="35" t="s">
        <v>48</v>
      </c>
      <c r="B150" s="36" t="s">
        <v>60</v>
      </c>
      <c r="C150" s="37">
        <f t="shared" si="87"/>
        <v>300</v>
      </c>
      <c r="D150" s="37">
        <f t="shared" si="88"/>
        <v>0</v>
      </c>
      <c r="E150" s="37">
        <v>0</v>
      </c>
      <c r="F150" s="37">
        <v>0</v>
      </c>
      <c r="G150" s="37">
        <v>0</v>
      </c>
      <c r="H150" s="37">
        <f t="shared" si="89"/>
        <v>300</v>
      </c>
      <c r="I150" s="37">
        <v>300</v>
      </c>
      <c r="J150" s="37">
        <v>0</v>
      </c>
      <c r="K150" s="37">
        <v>0</v>
      </c>
      <c r="L150" s="37">
        <v>0</v>
      </c>
      <c r="M150" s="37">
        <f t="shared" si="90"/>
        <v>0</v>
      </c>
      <c r="N150" s="37">
        <v>0</v>
      </c>
      <c r="O150" s="37">
        <v>0</v>
      </c>
      <c r="P150" s="37">
        <v>0</v>
      </c>
      <c r="Q150" s="37">
        <v>0</v>
      </c>
      <c r="R150" s="37">
        <f t="shared" si="91"/>
        <v>300</v>
      </c>
      <c r="S150" s="37">
        <f t="shared" si="92"/>
        <v>300</v>
      </c>
      <c r="T150" s="37">
        <f t="shared" si="92"/>
        <v>0</v>
      </c>
      <c r="U150" s="37">
        <f t="shared" si="92"/>
        <v>0</v>
      </c>
      <c r="V150" s="37">
        <f t="shared" si="93"/>
        <v>0</v>
      </c>
      <c r="W150" s="38">
        <f t="shared" si="84"/>
        <v>0</v>
      </c>
      <c r="X150" s="38">
        <f t="shared" si="85"/>
        <v>0</v>
      </c>
      <c r="Y150" s="38"/>
      <c r="Z150" s="38"/>
      <c r="AA150" s="38"/>
    </row>
    <row r="151" spans="1:27" ht="21" hidden="1">
      <c r="A151" s="35" t="s">
        <v>48</v>
      </c>
      <c r="B151" s="36" t="s">
        <v>61</v>
      </c>
      <c r="C151" s="37">
        <f t="shared" si="87"/>
        <v>18</v>
      </c>
      <c r="D151" s="37">
        <f t="shared" si="88"/>
        <v>0</v>
      </c>
      <c r="E151" s="37">
        <v>0</v>
      </c>
      <c r="F151" s="37">
        <v>0</v>
      </c>
      <c r="G151" s="37">
        <v>0</v>
      </c>
      <c r="H151" s="37">
        <f t="shared" si="89"/>
        <v>18</v>
      </c>
      <c r="I151" s="37">
        <v>18</v>
      </c>
      <c r="J151" s="37">
        <v>0</v>
      </c>
      <c r="K151" s="37">
        <v>0</v>
      </c>
      <c r="L151" s="37">
        <v>0</v>
      </c>
      <c r="M151" s="37">
        <f t="shared" si="90"/>
        <v>0</v>
      </c>
      <c r="N151" s="37">
        <v>0</v>
      </c>
      <c r="O151" s="37">
        <v>0</v>
      </c>
      <c r="P151" s="37">
        <v>0</v>
      </c>
      <c r="Q151" s="37">
        <v>0</v>
      </c>
      <c r="R151" s="37">
        <f t="shared" si="91"/>
        <v>18</v>
      </c>
      <c r="S151" s="37">
        <f t="shared" si="92"/>
        <v>18</v>
      </c>
      <c r="T151" s="37">
        <f t="shared" si="92"/>
        <v>0</v>
      </c>
      <c r="U151" s="37">
        <f t="shared" si="92"/>
        <v>0</v>
      </c>
      <c r="V151" s="37">
        <f t="shared" si="93"/>
        <v>0</v>
      </c>
      <c r="W151" s="38">
        <f t="shared" si="84"/>
        <v>0</v>
      </c>
      <c r="X151" s="38">
        <f t="shared" si="85"/>
        <v>0</v>
      </c>
      <c r="Y151" s="38"/>
      <c r="Z151" s="38"/>
      <c r="AA151" s="38"/>
    </row>
    <row r="152" spans="1:27" ht="18.75" hidden="1" customHeight="1">
      <c r="A152" s="35" t="s">
        <v>48</v>
      </c>
      <c r="B152" s="36" t="s">
        <v>62</v>
      </c>
      <c r="C152" s="37">
        <f t="shared" si="87"/>
        <v>746</v>
      </c>
      <c r="D152" s="37">
        <f t="shared" si="88"/>
        <v>0</v>
      </c>
      <c r="E152" s="37">
        <v>0</v>
      </c>
      <c r="F152" s="37">
        <v>0</v>
      </c>
      <c r="G152" s="37">
        <v>0</v>
      </c>
      <c r="H152" s="37">
        <f t="shared" si="89"/>
        <v>746</v>
      </c>
      <c r="I152" s="37">
        <v>746</v>
      </c>
      <c r="J152" s="37">
        <v>0</v>
      </c>
      <c r="K152" s="37">
        <v>0</v>
      </c>
      <c r="L152" s="37">
        <v>0</v>
      </c>
      <c r="M152" s="37">
        <f t="shared" si="90"/>
        <v>83.21</v>
      </c>
      <c r="N152" s="37">
        <v>83.21</v>
      </c>
      <c r="O152" s="37">
        <v>0</v>
      </c>
      <c r="P152" s="37">
        <v>0</v>
      </c>
      <c r="Q152" s="37">
        <v>0</v>
      </c>
      <c r="R152" s="37">
        <f t="shared" si="91"/>
        <v>662.79</v>
      </c>
      <c r="S152" s="37">
        <f t="shared" si="92"/>
        <v>662.79</v>
      </c>
      <c r="T152" s="37">
        <f t="shared" si="92"/>
        <v>0</v>
      </c>
      <c r="U152" s="37">
        <f t="shared" si="92"/>
        <v>0</v>
      </c>
      <c r="V152" s="37">
        <f t="shared" si="93"/>
        <v>0</v>
      </c>
      <c r="W152" s="38">
        <f t="shared" si="84"/>
        <v>0.11154155495978552</v>
      </c>
      <c r="X152" s="38">
        <f t="shared" si="85"/>
        <v>0.11154155495978552</v>
      </c>
      <c r="Y152" s="38"/>
      <c r="Z152" s="38"/>
      <c r="AA152" s="38"/>
    </row>
    <row r="153" spans="1:27" ht="22.5" hidden="1" customHeight="1">
      <c r="A153" s="35" t="s">
        <v>48</v>
      </c>
      <c r="B153" s="36" t="s">
        <v>63</v>
      </c>
      <c r="C153" s="37">
        <f t="shared" si="87"/>
        <v>405</v>
      </c>
      <c r="D153" s="37">
        <f t="shared" si="88"/>
        <v>0</v>
      </c>
      <c r="E153" s="37">
        <v>0</v>
      </c>
      <c r="F153" s="37">
        <v>0</v>
      </c>
      <c r="G153" s="37">
        <v>0</v>
      </c>
      <c r="H153" s="37">
        <f t="shared" si="89"/>
        <v>405</v>
      </c>
      <c r="I153" s="37">
        <v>405</v>
      </c>
      <c r="J153" s="37">
        <v>0</v>
      </c>
      <c r="K153" s="37">
        <v>0</v>
      </c>
      <c r="L153" s="37">
        <v>0</v>
      </c>
      <c r="M153" s="37">
        <f t="shared" si="90"/>
        <v>0</v>
      </c>
      <c r="N153" s="37">
        <v>0</v>
      </c>
      <c r="O153" s="37">
        <v>0</v>
      </c>
      <c r="P153" s="37">
        <v>0</v>
      </c>
      <c r="Q153" s="37">
        <v>0</v>
      </c>
      <c r="R153" s="37">
        <f t="shared" si="91"/>
        <v>405</v>
      </c>
      <c r="S153" s="37">
        <f t="shared" si="92"/>
        <v>405</v>
      </c>
      <c r="T153" s="37">
        <f t="shared" si="92"/>
        <v>0</v>
      </c>
      <c r="U153" s="37">
        <f t="shared" si="92"/>
        <v>0</v>
      </c>
      <c r="V153" s="37">
        <f t="shared" si="93"/>
        <v>0</v>
      </c>
      <c r="W153" s="38">
        <f t="shared" si="84"/>
        <v>0</v>
      </c>
      <c r="X153" s="38">
        <f t="shared" si="85"/>
        <v>0</v>
      </c>
      <c r="Y153" s="38"/>
      <c r="Z153" s="38"/>
      <c r="AA153" s="38"/>
    </row>
    <row r="154" spans="1:27" s="12" customFormat="1" ht="15.75" customHeight="1">
      <c r="A154" s="31" t="s">
        <v>76</v>
      </c>
      <c r="B154" s="32" t="s">
        <v>77</v>
      </c>
      <c r="C154" s="33">
        <f>+C155+C156</f>
        <v>46308</v>
      </c>
      <c r="D154" s="33">
        <f t="shared" ref="D154:V154" si="94">+D155+D156</f>
        <v>82</v>
      </c>
      <c r="E154" s="33">
        <f t="shared" si="94"/>
        <v>82</v>
      </c>
      <c r="F154" s="33">
        <f t="shared" si="94"/>
        <v>0</v>
      </c>
      <c r="G154" s="33">
        <f t="shared" si="94"/>
        <v>0</v>
      </c>
      <c r="H154" s="33">
        <f t="shared" si="94"/>
        <v>46226</v>
      </c>
      <c r="I154" s="33">
        <f t="shared" si="94"/>
        <v>24738</v>
      </c>
      <c r="J154" s="33">
        <f t="shared" si="94"/>
        <v>0</v>
      </c>
      <c r="K154" s="33">
        <f t="shared" si="94"/>
        <v>0</v>
      </c>
      <c r="L154" s="33">
        <f t="shared" si="94"/>
        <v>21488</v>
      </c>
      <c r="M154" s="33">
        <f t="shared" si="94"/>
        <v>19288.142</v>
      </c>
      <c r="N154" s="33">
        <f t="shared" si="94"/>
        <v>7393.9829999999993</v>
      </c>
      <c r="O154" s="33">
        <f t="shared" si="94"/>
        <v>0</v>
      </c>
      <c r="P154" s="33">
        <f t="shared" si="94"/>
        <v>0</v>
      </c>
      <c r="Q154" s="33">
        <f t="shared" si="94"/>
        <v>11894.159</v>
      </c>
      <c r="R154" s="33">
        <f t="shared" si="94"/>
        <v>27019.858</v>
      </c>
      <c r="S154" s="33">
        <f t="shared" si="94"/>
        <v>17426.017</v>
      </c>
      <c r="T154" s="33">
        <f t="shared" si="94"/>
        <v>0</v>
      </c>
      <c r="U154" s="33">
        <f t="shared" si="94"/>
        <v>0</v>
      </c>
      <c r="V154" s="33">
        <f t="shared" si="94"/>
        <v>9593.8410000000003</v>
      </c>
      <c r="W154" s="34">
        <f>M154/C154</f>
        <v>0.41651857130517406</v>
      </c>
      <c r="X154" s="34">
        <f>N154/(E154+I154)</f>
        <v>0.29790423045930697</v>
      </c>
      <c r="Y154" s="34"/>
      <c r="Z154" s="34"/>
      <c r="AA154" s="34">
        <f>Q154/L154</f>
        <v>0.55352564221891287</v>
      </c>
    </row>
    <row r="155" spans="1:27" ht="18.75" customHeight="1">
      <c r="A155" s="35" t="s">
        <v>45</v>
      </c>
      <c r="B155" s="36" t="s">
        <v>46</v>
      </c>
      <c r="C155" s="37">
        <f>+D155+H155</f>
        <v>29930</v>
      </c>
      <c r="D155" s="37">
        <f>SUM(E155:G155)</f>
        <v>82</v>
      </c>
      <c r="E155" s="37">
        <v>82</v>
      </c>
      <c r="F155" s="37">
        <v>0</v>
      </c>
      <c r="G155" s="37">
        <v>0</v>
      </c>
      <c r="H155" s="37">
        <f>SUM(I155:L155)</f>
        <v>29848</v>
      </c>
      <c r="I155" s="37">
        <v>8360</v>
      </c>
      <c r="J155" s="37">
        <v>0</v>
      </c>
      <c r="K155" s="37">
        <v>0</v>
      </c>
      <c r="L155" s="37">
        <v>21488</v>
      </c>
      <c r="M155" s="37">
        <f>SUM(N155:Q155)</f>
        <v>15475.199000000001</v>
      </c>
      <c r="N155" s="37">
        <v>3581.04</v>
      </c>
      <c r="O155" s="37">
        <v>0</v>
      </c>
      <c r="P155" s="37">
        <v>0</v>
      </c>
      <c r="Q155" s="37">
        <v>11894.159</v>
      </c>
      <c r="R155" s="37">
        <f>SUM(S155:V155)</f>
        <v>14454.800999999999</v>
      </c>
      <c r="S155" s="37">
        <f>(E155+I155)-N155</f>
        <v>4860.96</v>
      </c>
      <c r="T155" s="37">
        <f>(F155+J155)-O155</f>
        <v>0</v>
      </c>
      <c r="U155" s="37">
        <f>(G155+K155)-P155</f>
        <v>0</v>
      </c>
      <c r="V155" s="37">
        <f>L155-Q155</f>
        <v>9593.8410000000003</v>
      </c>
      <c r="W155" s="38">
        <f t="shared" ref="W155:W171" si="95">M155/C155</f>
        <v>0.51704640828600068</v>
      </c>
      <c r="X155" s="38">
        <f t="shared" ref="X155:X171" si="96">N155/(E155+I155)</f>
        <v>0.42419331911869224</v>
      </c>
      <c r="Y155" s="38"/>
      <c r="Z155" s="38"/>
      <c r="AA155" s="38">
        <f>Q155/L155</f>
        <v>0.55352564221891287</v>
      </c>
    </row>
    <row r="156" spans="1:27" ht="15.75" customHeight="1">
      <c r="A156" s="35" t="s">
        <v>45</v>
      </c>
      <c r="B156" s="36" t="s">
        <v>47</v>
      </c>
      <c r="C156" s="37">
        <f t="shared" ref="C156:V156" si="97">SUM(C157:C171)</f>
        <v>16378</v>
      </c>
      <c r="D156" s="37">
        <f t="shared" si="97"/>
        <v>0</v>
      </c>
      <c r="E156" s="37">
        <f t="shared" si="97"/>
        <v>0</v>
      </c>
      <c r="F156" s="37">
        <f t="shared" si="97"/>
        <v>0</v>
      </c>
      <c r="G156" s="37">
        <f t="shared" si="97"/>
        <v>0</v>
      </c>
      <c r="H156" s="37">
        <f t="shared" si="97"/>
        <v>16378</v>
      </c>
      <c r="I156" s="37">
        <f t="shared" si="97"/>
        <v>16378</v>
      </c>
      <c r="J156" s="37">
        <f t="shared" si="97"/>
        <v>0</v>
      </c>
      <c r="K156" s="37">
        <f t="shared" si="97"/>
        <v>0</v>
      </c>
      <c r="L156" s="37">
        <f t="shared" si="97"/>
        <v>0</v>
      </c>
      <c r="M156" s="37">
        <f t="shared" si="97"/>
        <v>3812.9429999999993</v>
      </c>
      <c r="N156" s="37">
        <f t="shared" si="97"/>
        <v>3812.9429999999993</v>
      </c>
      <c r="O156" s="37">
        <f t="shared" si="97"/>
        <v>0</v>
      </c>
      <c r="P156" s="37">
        <f t="shared" si="97"/>
        <v>0</v>
      </c>
      <c r="Q156" s="37">
        <f t="shared" si="97"/>
        <v>0</v>
      </c>
      <c r="R156" s="37">
        <f t="shared" si="97"/>
        <v>12565.057000000001</v>
      </c>
      <c r="S156" s="37">
        <f t="shared" si="97"/>
        <v>12565.057000000001</v>
      </c>
      <c r="T156" s="37">
        <f t="shared" si="97"/>
        <v>0</v>
      </c>
      <c r="U156" s="37">
        <f t="shared" si="97"/>
        <v>0</v>
      </c>
      <c r="V156" s="37">
        <f t="shared" si="97"/>
        <v>0</v>
      </c>
      <c r="W156" s="38">
        <f t="shared" si="95"/>
        <v>0.23280882891683963</v>
      </c>
      <c r="X156" s="38">
        <f t="shared" si="96"/>
        <v>0.23280882891683963</v>
      </c>
      <c r="Y156" s="38"/>
      <c r="Z156" s="38"/>
      <c r="AA156" s="38"/>
    </row>
    <row r="157" spans="1:27" ht="15.75" hidden="1" customHeight="1">
      <c r="A157" s="35" t="s">
        <v>48</v>
      </c>
      <c r="B157" s="36" t="s">
        <v>49</v>
      </c>
      <c r="C157" s="37">
        <f t="shared" ref="C157:C171" si="98">+D157+H157</f>
        <v>5070</v>
      </c>
      <c r="D157" s="37">
        <f t="shared" ref="D157:D171" si="99">SUM(E157:G157)</f>
        <v>0</v>
      </c>
      <c r="E157" s="37">
        <v>0</v>
      </c>
      <c r="F157" s="37">
        <v>0</v>
      </c>
      <c r="G157" s="37">
        <v>0</v>
      </c>
      <c r="H157" s="37">
        <f t="shared" ref="H157:H171" si="100">SUM(I157:L157)</f>
        <v>5070</v>
      </c>
      <c r="I157" s="37">
        <v>5070</v>
      </c>
      <c r="J157" s="37">
        <v>0</v>
      </c>
      <c r="K157" s="37">
        <v>0</v>
      </c>
      <c r="L157" s="37">
        <v>0</v>
      </c>
      <c r="M157" s="37">
        <f t="shared" ref="M157:M171" si="101">SUM(N157:Q157)</f>
        <v>1840.3819999999998</v>
      </c>
      <c r="N157" s="37">
        <v>1840.3819999999998</v>
      </c>
      <c r="O157" s="37">
        <v>0</v>
      </c>
      <c r="P157" s="37">
        <v>0</v>
      </c>
      <c r="Q157" s="37">
        <v>0</v>
      </c>
      <c r="R157" s="37">
        <f t="shared" ref="R157:R171" si="102">SUM(S157:V157)</f>
        <v>3229.6180000000004</v>
      </c>
      <c r="S157" s="37">
        <f t="shared" ref="S157:U171" si="103">(E157+I157)-N157</f>
        <v>3229.6180000000004</v>
      </c>
      <c r="T157" s="37">
        <f t="shared" si="103"/>
        <v>0</v>
      </c>
      <c r="U157" s="37">
        <f t="shared" si="103"/>
        <v>0</v>
      </c>
      <c r="V157" s="37">
        <f t="shared" ref="V157:V171" si="104">L157-Q157</f>
        <v>0</v>
      </c>
      <c r="W157" s="38">
        <f t="shared" si="95"/>
        <v>0.36299447731755419</v>
      </c>
      <c r="X157" s="38">
        <f t="shared" si="96"/>
        <v>0.36299447731755419</v>
      </c>
      <c r="Y157" s="38"/>
      <c r="Z157" s="38"/>
      <c r="AA157" s="38"/>
    </row>
    <row r="158" spans="1:27" ht="15.75" hidden="1" customHeight="1">
      <c r="A158" s="35" t="s">
        <v>48</v>
      </c>
      <c r="B158" s="36" t="s">
        <v>50</v>
      </c>
      <c r="C158" s="37">
        <f t="shared" si="98"/>
        <v>3600</v>
      </c>
      <c r="D158" s="37">
        <f t="shared" si="99"/>
        <v>0</v>
      </c>
      <c r="E158" s="37">
        <v>0</v>
      </c>
      <c r="F158" s="37">
        <v>0</v>
      </c>
      <c r="G158" s="37">
        <v>0</v>
      </c>
      <c r="H158" s="37">
        <f t="shared" si="100"/>
        <v>3600</v>
      </c>
      <c r="I158" s="37">
        <v>3600</v>
      </c>
      <c r="J158" s="37">
        <v>0</v>
      </c>
      <c r="K158" s="37">
        <v>0</v>
      </c>
      <c r="L158" s="37">
        <v>0</v>
      </c>
      <c r="M158" s="37">
        <f t="shared" si="101"/>
        <v>411</v>
      </c>
      <c r="N158" s="37">
        <v>411</v>
      </c>
      <c r="O158" s="37">
        <v>0</v>
      </c>
      <c r="P158" s="37">
        <v>0</v>
      </c>
      <c r="Q158" s="37">
        <v>0</v>
      </c>
      <c r="R158" s="37">
        <f t="shared" si="102"/>
        <v>3189</v>
      </c>
      <c r="S158" s="37">
        <f t="shared" si="103"/>
        <v>3189</v>
      </c>
      <c r="T158" s="37">
        <f t="shared" si="103"/>
        <v>0</v>
      </c>
      <c r="U158" s="37">
        <f t="shared" si="103"/>
        <v>0</v>
      </c>
      <c r="V158" s="37">
        <f t="shared" si="104"/>
        <v>0</v>
      </c>
      <c r="W158" s="38">
        <f t="shared" si="95"/>
        <v>0.11416666666666667</v>
      </c>
      <c r="X158" s="38">
        <f t="shared" si="96"/>
        <v>0.11416666666666667</v>
      </c>
      <c r="Y158" s="38"/>
      <c r="Z158" s="38"/>
      <c r="AA158" s="38"/>
    </row>
    <row r="159" spans="1:27" ht="15.75" hidden="1" customHeight="1">
      <c r="A159" s="35" t="s">
        <v>48</v>
      </c>
      <c r="B159" s="36" t="s">
        <v>51</v>
      </c>
      <c r="C159" s="37">
        <f t="shared" si="98"/>
        <v>450</v>
      </c>
      <c r="D159" s="37">
        <f t="shared" si="99"/>
        <v>0</v>
      </c>
      <c r="E159" s="37">
        <v>0</v>
      </c>
      <c r="F159" s="37">
        <v>0</v>
      </c>
      <c r="G159" s="37">
        <v>0</v>
      </c>
      <c r="H159" s="37">
        <f t="shared" si="100"/>
        <v>450</v>
      </c>
      <c r="I159" s="37">
        <v>450</v>
      </c>
      <c r="J159" s="37">
        <v>0</v>
      </c>
      <c r="K159" s="37">
        <v>0</v>
      </c>
      <c r="L159" s="37">
        <v>0</v>
      </c>
      <c r="M159" s="37">
        <f t="shared" si="101"/>
        <v>15</v>
      </c>
      <c r="N159" s="37">
        <v>15</v>
      </c>
      <c r="O159" s="37">
        <v>0</v>
      </c>
      <c r="P159" s="37">
        <v>0</v>
      </c>
      <c r="Q159" s="37">
        <v>0</v>
      </c>
      <c r="R159" s="37">
        <f t="shared" si="102"/>
        <v>435</v>
      </c>
      <c r="S159" s="37">
        <f t="shared" si="103"/>
        <v>435</v>
      </c>
      <c r="T159" s="37">
        <f t="shared" si="103"/>
        <v>0</v>
      </c>
      <c r="U159" s="37">
        <f t="shared" si="103"/>
        <v>0</v>
      </c>
      <c r="V159" s="37">
        <f t="shared" si="104"/>
        <v>0</v>
      </c>
      <c r="W159" s="38">
        <f t="shared" si="95"/>
        <v>3.3333333333333333E-2</v>
      </c>
      <c r="X159" s="38">
        <f t="shared" si="96"/>
        <v>3.3333333333333333E-2</v>
      </c>
      <c r="Y159" s="38"/>
      <c r="Z159" s="38"/>
      <c r="AA159" s="38"/>
    </row>
    <row r="160" spans="1:27" ht="24" hidden="1" customHeight="1">
      <c r="A160" s="35" t="s">
        <v>48</v>
      </c>
      <c r="B160" s="36" t="s">
        <v>52</v>
      </c>
      <c r="C160" s="37">
        <f t="shared" si="98"/>
        <v>450</v>
      </c>
      <c r="D160" s="37">
        <f t="shared" si="99"/>
        <v>0</v>
      </c>
      <c r="E160" s="37">
        <v>0</v>
      </c>
      <c r="F160" s="37">
        <v>0</v>
      </c>
      <c r="G160" s="37">
        <v>0</v>
      </c>
      <c r="H160" s="37">
        <f t="shared" si="100"/>
        <v>450</v>
      </c>
      <c r="I160" s="37">
        <v>450</v>
      </c>
      <c r="J160" s="37">
        <v>0</v>
      </c>
      <c r="K160" s="37">
        <v>0</v>
      </c>
      <c r="L160" s="37">
        <v>0</v>
      </c>
      <c r="M160" s="37">
        <f t="shared" si="101"/>
        <v>0</v>
      </c>
      <c r="N160" s="37">
        <v>0</v>
      </c>
      <c r="O160" s="37">
        <v>0</v>
      </c>
      <c r="P160" s="37">
        <v>0</v>
      </c>
      <c r="Q160" s="37">
        <v>0</v>
      </c>
      <c r="R160" s="37">
        <f t="shared" si="102"/>
        <v>450</v>
      </c>
      <c r="S160" s="37">
        <f t="shared" si="103"/>
        <v>450</v>
      </c>
      <c r="T160" s="37">
        <f t="shared" si="103"/>
        <v>0</v>
      </c>
      <c r="U160" s="37">
        <f t="shared" si="103"/>
        <v>0</v>
      </c>
      <c r="V160" s="37">
        <f t="shared" si="104"/>
        <v>0</v>
      </c>
      <c r="W160" s="38">
        <f t="shared" si="95"/>
        <v>0</v>
      </c>
      <c r="X160" s="38">
        <f t="shared" si="96"/>
        <v>0</v>
      </c>
      <c r="Y160" s="38"/>
      <c r="Z160" s="38"/>
      <c r="AA160" s="38"/>
    </row>
    <row r="161" spans="1:27" ht="25.5" hidden="1" customHeight="1">
      <c r="A161" s="35" t="s">
        <v>48</v>
      </c>
      <c r="B161" s="36" t="s">
        <v>53</v>
      </c>
      <c r="C161" s="37">
        <f t="shared" si="98"/>
        <v>200</v>
      </c>
      <c r="D161" s="37">
        <f t="shared" si="99"/>
        <v>0</v>
      </c>
      <c r="E161" s="37">
        <v>0</v>
      </c>
      <c r="F161" s="37">
        <v>0</v>
      </c>
      <c r="G161" s="37">
        <v>0</v>
      </c>
      <c r="H161" s="37">
        <f t="shared" si="100"/>
        <v>200</v>
      </c>
      <c r="I161" s="37">
        <v>200</v>
      </c>
      <c r="J161" s="37">
        <v>0</v>
      </c>
      <c r="K161" s="37">
        <v>0</v>
      </c>
      <c r="L161" s="37">
        <v>0</v>
      </c>
      <c r="M161" s="37">
        <f t="shared" si="101"/>
        <v>0</v>
      </c>
      <c r="N161" s="37">
        <v>0</v>
      </c>
      <c r="O161" s="37">
        <v>0</v>
      </c>
      <c r="P161" s="37">
        <v>0</v>
      </c>
      <c r="Q161" s="37">
        <v>0</v>
      </c>
      <c r="R161" s="37">
        <f t="shared" si="102"/>
        <v>200</v>
      </c>
      <c r="S161" s="37">
        <f t="shared" si="103"/>
        <v>200</v>
      </c>
      <c r="T161" s="37">
        <f t="shared" si="103"/>
        <v>0</v>
      </c>
      <c r="U161" s="37">
        <f t="shared" si="103"/>
        <v>0</v>
      </c>
      <c r="V161" s="37">
        <f t="shared" si="104"/>
        <v>0</v>
      </c>
      <c r="W161" s="38">
        <f t="shared" si="95"/>
        <v>0</v>
      </c>
      <c r="X161" s="38">
        <f t="shared" si="96"/>
        <v>0</v>
      </c>
      <c r="Y161" s="38"/>
      <c r="Z161" s="38"/>
      <c r="AA161" s="38"/>
    </row>
    <row r="162" spans="1:27" ht="26.25" hidden="1" customHeight="1">
      <c r="A162" s="35" t="s">
        <v>48</v>
      </c>
      <c r="B162" s="36" t="s">
        <v>54</v>
      </c>
      <c r="C162" s="37">
        <f t="shared" si="98"/>
        <v>0</v>
      </c>
      <c r="D162" s="37">
        <f t="shared" si="99"/>
        <v>0</v>
      </c>
      <c r="E162" s="37">
        <v>0</v>
      </c>
      <c r="F162" s="37">
        <v>0</v>
      </c>
      <c r="G162" s="37">
        <v>0</v>
      </c>
      <c r="H162" s="37">
        <f t="shared" si="100"/>
        <v>0</v>
      </c>
      <c r="I162" s="37">
        <v>0</v>
      </c>
      <c r="J162" s="37">
        <v>0</v>
      </c>
      <c r="K162" s="37">
        <v>0</v>
      </c>
      <c r="L162" s="37">
        <v>0</v>
      </c>
      <c r="M162" s="37">
        <f t="shared" si="101"/>
        <v>0</v>
      </c>
      <c r="N162" s="37">
        <v>0</v>
      </c>
      <c r="O162" s="37">
        <v>0</v>
      </c>
      <c r="P162" s="37">
        <v>0</v>
      </c>
      <c r="Q162" s="37">
        <v>0</v>
      </c>
      <c r="R162" s="37">
        <f t="shared" si="102"/>
        <v>0</v>
      </c>
      <c r="S162" s="37">
        <f t="shared" si="103"/>
        <v>0</v>
      </c>
      <c r="T162" s="37">
        <f t="shared" si="103"/>
        <v>0</v>
      </c>
      <c r="U162" s="37">
        <f t="shared" si="103"/>
        <v>0</v>
      </c>
      <c r="V162" s="37">
        <f t="shared" si="104"/>
        <v>0</v>
      </c>
      <c r="W162" s="38"/>
      <c r="X162" s="38"/>
      <c r="Y162" s="38"/>
      <c r="Z162" s="38"/>
      <c r="AA162" s="38"/>
    </row>
    <row r="163" spans="1:27" ht="20.25" hidden="1" customHeight="1">
      <c r="A163" s="35" t="s">
        <v>48</v>
      </c>
      <c r="B163" s="36" t="s">
        <v>55</v>
      </c>
      <c r="C163" s="37">
        <f t="shared" si="98"/>
        <v>600</v>
      </c>
      <c r="D163" s="37">
        <f t="shared" si="99"/>
        <v>0</v>
      </c>
      <c r="E163" s="37">
        <v>0</v>
      </c>
      <c r="F163" s="37">
        <v>0</v>
      </c>
      <c r="G163" s="37">
        <v>0</v>
      </c>
      <c r="H163" s="37">
        <f t="shared" si="100"/>
        <v>600</v>
      </c>
      <c r="I163" s="37">
        <v>600</v>
      </c>
      <c r="J163" s="37">
        <v>0</v>
      </c>
      <c r="K163" s="37">
        <v>0</v>
      </c>
      <c r="L163" s="37">
        <v>0</v>
      </c>
      <c r="M163" s="37">
        <f t="shared" si="101"/>
        <v>16.256</v>
      </c>
      <c r="N163" s="37">
        <v>16.256</v>
      </c>
      <c r="O163" s="37">
        <v>0</v>
      </c>
      <c r="P163" s="37">
        <v>0</v>
      </c>
      <c r="Q163" s="37">
        <v>0</v>
      </c>
      <c r="R163" s="37">
        <f t="shared" si="102"/>
        <v>583.74400000000003</v>
      </c>
      <c r="S163" s="37">
        <f t="shared" si="103"/>
        <v>583.74400000000003</v>
      </c>
      <c r="T163" s="37">
        <f t="shared" si="103"/>
        <v>0</v>
      </c>
      <c r="U163" s="37">
        <f t="shared" si="103"/>
        <v>0</v>
      </c>
      <c r="V163" s="37">
        <f t="shared" si="104"/>
        <v>0</v>
      </c>
      <c r="W163" s="38">
        <f t="shared" si="95"/>
        <v>2.7093333333333334E-2</v>
      </c>
      <c r="X163" s="38">
        <f t="shared" si="96"/>
        <v>2.7093333333333334E-2</v>
      </c>
      <c r="Y163" s="38"/>
      <c r="Z163" s="38"/>
      <c r="AA163" s="38"/>
    </row>
    <row r="164" spans="1:27" ht="15.75" hidden="1" customHeight="1">
      <c r="A164" s="35" t="s">
        <v>48</v>
      </c>
      <c r="B164" s="36" t="s">
        <v>56</v>
      </c>
      <c r="C164" s="37">
        <f t="shared" si="98"/>
        <v>1800</v>
      </c>
      <c r="D164" s="37">
        <f t="shared" si="99"/>
        <v>0</v>
      </c>
      <c r="E164" s="37">
        <v>0</v>
      </c>
      <c r="F164" s="37">
        <v>0</v>
      </c>
      <c r="G164" s="37">
        <v>0</v>
      </c>
      <c r="H164" s="37">
        <f t="shared" si="100"/>
        <v>1800</v>
      </c>
      <c r="I164" s="37">
        <v>1800</v>
      </c>
      <c r="J164" s="37">
        <v>0</v>
      </c>
      <c r="K164" s="37">
        <v>0</v>
      </c>
      <c r="L164" s="37">
        <v>0</v>
      </c>
      <c r="M164" s="37">
        <f t="shared" si="101"/>
        <v>511.30500000000001</v>
      </c>
      <c r="N164" s="37">
        <v>511.30500000000001</v>
      </c>
      <c r="O164" s="37">
        <v>0</v>
      </c>
      <c r="P164" s="37">
        <v>0</v>
      </c>
      <c r="Q164" s="37">
        <v>0</v>
      </c>
      <c r="R164" s="37">
        <f t="shared" si="102"/>
        <v>1288.6949999999999</v>
      </c>
      <c r="S164" s="37">
        <f t="shared" si="103"/>
        <v>1288.6949999999999</v>
      </c>
      <c r="T164" s="37">
        <f t="shared" si="103"/>
        <v>0</v>
      </c>
      <c r="U164" s="37">
        <f t="shared" si="103"/>
        <v>0</v>
      </c>
      <c r="V164" s="37">
        <f t="shared" si="104"/>
        <v>0</v>
      </c>
      <c r="W164" s="38">
        <f t="shared" si="95"/>
        <v>0.28405833333333336</v>
      </c>
      <c r="X164" s="38">
        <f t="shared" si="96"/>
        <v>0.28405833333333336</v>
      </c>
      <c r="Y164" s="38"/>
      <c r="Z164" s="38"/>
      <c r="AA164" s="38"/>
    </row>
    <row r="165" spans="1:27" ht="15.75" hidden="1" customHeight="1">
      <c r="A165" s="35" t="s">
        <v>48</v>
      </c>
      <c r="B165" s="36" t="s">
        <v>57</v>
      </c>
      <c r="C165" s="37">
        <f t="shared" si="98"/>
        <v>950</v>
      </c>
      <c r="D165" s="37">
        <f t="shared" si="99"/>
        <v>0</v>
      </c>
      <c r="E165" s="37">
        <v>0</v>
      </c>
      <c r="F165" s="37">
        <v>0</v>
      </c>
      <c r="G165" s="37">
        <v>0</v>
      </c>
      <c r="H165" s="37">
        <f t="shared" si="100"/>
        <v>950</v>
      </c>
      <c r="I165" s="37">
        <v>950</v>
      </c>
      <c r="J165" s="37">
        <v>0</v>
      </c>
      <c r="K165" s="37">
        <v>0</v>
      </c>
      <c r="L165" s="37">
        <v>0</v>
      </c>
      <c r="M165" s="37">
        <f t="shared" si="101"/>
        <v>750</v>
      </c>
      <c r="N165" s="37">
        <v>750</v>
      </c>
      <c r="O165" s="37">
        <v>0</v>
      </c>
      <c r="P165" s="37">
        <v>0</v>
      </c>
      <c r="Q165" s="37">
        <v>0</v>
      </c>
      <c r="R165" s="37">
        <f t="shared" si="102"/>
        <v>200</v>
      </c>
      <c r="S165" s="37">
        <f t="shared" si="103"/>
        <v>200</v>
      </c>
      <c r="T165" s="37">
        <f t="shared" si="103"/>
        <v>0</v>
      </c>
      <c r="U165" s="37">
        <f t="shared" si="103"/>
        <v>0</v>
      </c>
      <c r="V165" s="37">
        <f t="shared" si="104"/>
        <v>0</v>
      </c>
      <c r="W165" s="38">
        <f t="shared" si="95"/>
        <v>0.78947368421052633</v>
      </c>
      <c r="X165" s="38">
        <f t="shared" si="96"/>
        <v>0.78947368421052633</v>
      </c>
      <c r="Y165" s="38"/>
      <c r="Z165" s="38"/>
      <c r="AA165" s="38"/>
    </row>
    <row r="166" spans="1:27" ht="15.75" hidden="1" customHeight="1">
      <c r="A166" s="35" t="s">
        <v>48</v>
      </c>
      <c r="B166" s="36" t="s">
        <v>58</v>
      </c>
      <c r="C166" s="37">
        <f t="shared" si="98"/>
        <v>300</v>
      </c>
      <c r="D166" s="37">
        <f t="shared" si="99"/>
        <v>0</v>
      </c>
      <c r="E166" s="37">
        <v>0</v>
      </c>
      <c r="F166" s="37">
        <v>0</v>
      </c>
      <c r="G166" s="37">
        <v>0</v>
      </c>
      <c r="H166" s="37">
        <f t="shared" si="100"/>
        <v>300</v>
      </c>
      <c r="I166" s="37">
        <v>300</v>
      </c>
      <c r="J166" s="37">
        <v>0</v>
      </c>
      <c r="K166" s="37">
        <v>0</v>
      </c>
      <c r="L166" s="37">
        <v>0</v>
      </c>
      <c r="M166" s="37">
        <f t="shared" si="101"/>
        <v>0</v>
      </c>
      <c r="N166" s="37">
        <v>0</v>
      </c>
      <c r="O166" s="37">
        <v>0</v>
      </c>
      <c r="P166" s="37">
        <v>0</v>
      </c>
      <c r="Q166" s="37">
        <v>0</v>
      </c>
      <c r="R166" s="37">
        <f t="shared" si="102"/>
        <v>300</v>
      </c>
      <c r="S166" s="37">
        <f t="shared" si="103"/>
        <v>300</v>
      </c>
      <c r="T166" s="37">
        <f t="shared" si="103"/>
        <v>0</v>
      </c>
      <c r="U166" s="37">
        <f t="shared" si="103"/>
        <v>0</v>
      </c>
      <c r="V166" s="37">
        <f t="shared" si="104"/>
        <v>0</v>
      </c>
      <c r="W166" s="38">
        <f t="shared" si="95"/>
        <v>0</v>
      </c>
      <c r="X166" s="38">
        <f t="shared" si="96"/>
        <v>0</v>
      </c>
      <c r="Y166" s="38"/>
      <c r="Z166" s="38"/>
      <c r="AA166" s="38"/>
    </row>
    <row r="167" spans="1:27" ht="15.75" hidden="1" customHeight="1">
      <c r="A167" s="35" t="s">
        <v>48</v>
      </c>
      <c r="B167" s="36" t="s">
        <v>59</v>
      </c>
      <c r="C167" s="37">
        <f t="shared" si="98"/>
        <v>200</v>
      </c>
      <c r="D167" s="37">
        <f t="shared" si="99"/>
        <v>0</v>
      </c>
      <c r="E167" s="37">
        <v>0</v>
      </c>
      <c r="F167" s="37">
        <v>0</v>
      </c>
      <c r="G167" s="37">
        <v>0</v>
      </c>
      <c r="H167" s="37">
        <f t="shared" si="100"/>
        <v>200</v>
      </c>
      <c r="I167" s="37">
        <v>200</v>
      </c>
      <c r="J167" s="37">
        <v>0</v>
      </c>
      <c r="K167" s="37">
        <v>0</v>
      </c>
      <c r="L167" s="37">
        <v>0</v>
      </c>
      <c r="M167" s="37">
        <f t="shared" si="101"/>
        <v>0</v>
      </c>
      <c r="N167" s="37">
        <v>0</v>
      </c>
      <c r="O167" s="37">
        <v>0</v>
      </c>
      <c r="P167" s="37">
        <v>0</v>
      </c>
      <c r="Q167" s="37">
        <v>0</v>
      </c>
      <c r="R167" s="37">
        <f t="shared" si="102"/>
        <v>200</v>
      </c>
      <c r="S167" s="37">
        <f t="shared" si="103"/>
        <v>200</v>
      </c>
      <c r="T167" s="37">
        <f t="shared" si="103"/>
        <v>0</v>
      </c>
      <c r="U167" s="37">
        <f t="shared" si="103"/>
        <v>0</v>
      </c>
      <c r="V167" s="37">
        <f t="shared" si="104"/>
        <v>0</v>
      </c>
      <c r="W167" s="38">
        <f t="shared" si="95"/>
        <v>0</v>
      </c>
      <c r="X167" s="38">
        <f t="shared" si="96"/>
        <v>0</v>
      </c>
      <c r="Y167" s="38"/>
      <c r="Z167" s="38"/>
      <c r="AA167" s="38"/>
    </row>
    <row r="168" spans="1:27" ht="15.75" hidden="1" customHeight="1">
      <c r="A168" s="35" t="s">
        <v>48</v>
      </c>
      <c r="B168" s="36" t="s">
        <v>60</v>
      </c>
      <c r="C168" s="37">
        <f t="shared" si="98"/>
        <v>0</v>
      </c>
      <c r="D168" s="37">
        <f t="shared" si="99"/>
        <v>0</v>
      </c>
      <c r="E168" s="37">
        <v>0</v>
      </c>
      <c r="F168" s="37">
        <v>0</v>
      </c>
      <c r="G168" s="37">
        <v>0</v>
      </c>
      <c r="H168" s="37">
        <f t="shared" si="100"/>
        <v>0</v>
      </c>
      <c r="I168" s="37">
        <v>0</v>
      </c>
      <c r="J168" s="37">
        <v>0</v>
      </c>
      <c r="K168" s="37">
        <v>0</v>
      </c>
      <c r="L168" s="37">
        <v>0</v>
      </c>
      <c r="M168" s="37">
        <f t="shared" si="101"/>
        <v>0</v>
      </c>
      <c r="N168" s="37">
        <v>0</v>
      </c>
      <c r="O168" s="37">
        <v>0</v>
      </c>
      <c r="P168" s="37">
        <v>0</v>
      </c>
      <c r="Q168" s="37">
        <v>0</v>
      </c>
      <c r="R168" s="37">
        <f t="shared" si="102"/>
        <v>0</v>
      </c>
      <c r="S168" s="37">
        <f t="shared" si="103"/>
        <v>0</v>
      </c>
      <c r="T168" s="37">
        <f t="shared" si="103"/>
        <v>0</v>
      </c>
      <c r="U168" s="37">
        <f t="shared" si="103"/>
        <v>0</v>
      </c>
      <c r="V168" s="37">
        <f t="shared" si="104"/>
        <v>0</v>
      </c>
      <c r="W168" s="38"/>
      <c r="X168" s="38"/>
      <c r="Y168" s="38"/>
      <c r="Z168" s="38"/>
      <c r="AA168" s="38"/>
    </row>
    <row r="169" spans="1:27" ht="21" hidden="1">
      <c r="A169" s="35" t="s">
        <v>48</v>
      </c>
      <c r="B169" s="36" t="s">
        <v>61</v>
      </c>
      <c r="C169" s="37">
        <f t="shared" si="98"/>
        <v>294</v>
      </c>
      <c r="D169" s="37">
        <f t="shared" si="99"/>
        <v>0</v>
      </c>
      <c r="E169" s="37">
        <v>0</v>
      </c>
      <c r="F169" s="37">
        <v>0</v>
      </c>
      <c r="G169" s="37">
        <v>0</v>
      </c>
      <c r="H169" s="37">
        <f t="shared" si="100"/>
        <v>294</v>
      </c>
      <c r="I169" s="37">
        <v>294</v>
      </c>
      <c r="J169" s="37">
        <v>0</v>
      </c>
      <c r="K169" s="37">
        <v>0</v>
      </c>
      <c r="L169" s="37">
        <v>0</v>
      </c>
      <c r="M169" s="37">
        <f t="shared" si="101"/>
        <v>85</v>
      </c>
      <c r="N169" s="37">
        <v>85</v>
      </c>
      <c r="O169" s="37">
        <v>0</v>
      </c>
      <c r="P169" s="37">
        <v>0</v>
      </c>
      <c r="Q169" s="37">
        <v>0</v>
      </c>
      <c r="R169" s="37">
        <f t="shared" si="102"/>
        <v>209</v>
      </c>
      <c r="S169" s="37">
        <f t="shared" si="103"/>
        <v>209</v>
      </c>
      <c r="T169" s="37">
        <f t="shared" si="103"/>
        <v>0</v>
      </c>
      <c r="U169" s="37">
        <f t="shared" si="103"/>
        <v>0</v>
      </c>
      <c r="V169" s="37">
        <f t="shared" si="104"/>
        <v>0</v>
      </c>
      <c r="W169" s="38">
        <f t="shared" si="95"/>
        <v>0.28911564625850339</v>
      </c>
      <c r="X169" s="38">
        <f t="shared" si="96"/>
        <v>0.28911564625850339</v>
      </c>
      <c r="Y169" s="38"/>
      <c r="Z169" s="38"/>
      <c r="AA169" s="38"/>
    </row>
    <row r="170" spans="1:27" ht="18.75" hidden="1" customHeight="1">
      <c r="A170" s="35" t="s">
        <v>48</v>
      </c>
      <c r="B170" s="36" t="s">
        <v>62</v>
      </c>
      <c r="C170" s="37">
        <f t="shared" si="98"/>
        <v>1240</v>
      </c>
      <c r="D170" s="37">
        <f t="shared" si="99"/>
        <v>0</v>
      </c>
      <c r="E170" s="37">
        <v>0</v>
      </c>
      <c r="F170" s="37">
        <v>0</v>
      </c>
      <c r="G170" s="37">
        <v>0</v>
      </c>
      <c r="H170" s="37">
        <f t="shared" si="100"/>
        <v>1240</v>
      </c>
      <c r="I170" s="37">
        <v>1240</v>
      </c>
      <c r="J170" s="37">
        <v>0</v>
      </c>
      <c r="K170" s="37">
        <v>0</v>
      </c>
      <c r="L170" s="37">
        <v>0</v>
      </c>
      <c r="M170" s="37">
        <f t="shared" si="101"/>
        <v>184</v>
      </c>
      <c r="N170" s="37">
        <v>184</v>
      </c>
      <c r="O170" s="37">
        <v>0</v>
      </c>
      <c r="P170" s="37">
        <v>0</v>
      </c>
      <c r="Q170" s="37">
        <v>0</v>
      </c>
      <c r="R170" s="37">
        <f t="shared" si="102"/>
        <v>1056</v>
      </c>
      <c r="S170" s="37">
        <f t="shared" si="103"/>
        <v>1056</v>
      </c>
      <c r="T170" s="37">
        <f t="shared" si="103"/>
        <v>0</v>
      </c>
      <c r="U170" s="37">
        <f t="shared" si="103"/>
        <v>0</v>
      </c>
      <c r="V170" s="37">
        <f t="shared" si="104"/>
        <v>0</v>
      </c>
      <c r="W170" s="38">
        <f t="shared" si="95"/>
        <v>0.14838709677419354</v>
      </c>
      <c r="X170" s="38">
        <f t="shared" si="96"/>
        <v>0.14838709677419354</v>
      </c>
      <c r="Y170" s="38"/>
      <c r="Z170" s="38"/>
      <c r="AA170" s="38"/>
    </row>
    <row r="171" spans="1:27" ht="22.5" hidden="1" customHeight="1">
      <c r="A171" s="35" t="s">
        <v>48</v>
      </c>
      <c r="B171" s="36" t="s">
        <v>63</v>
      </c>
      <c r="C171" s="37">
        <f t="shared" si="98"/>
        <v>1224</v>
      </c>
      <c r="D171" s="37">
        <f t="shared" si="99"/>
        <v>0</v>
      </c>
      <c r="E171" s="37">
        <v>0</v>
      </c>
      <c r="F171" s="37">
        <v>0</v>
      </c>
      <c r="G171" s="37">
        <v>0</v>
      </c>
      <c r="H171" s="37">
        <f t="shared" si="100"/>
        <v>1224</v>
      </c>
      <c r="I171" s="37">
        <v>1224</v>
      </c>
      <c r="J171" s="37">
        <v>0</v>
      </c>
      <c r="K171" s="37">
        <v>0</v>
      </c>
      <c r="L171" s="37">
        <v>0</v>
      </c>
      <c r="M171" s="37">
        <f t="shared" si="101"/>
        <v>0</v>
      </c>
      <c r="N171" s="37">
        <v>0</v>
      </c>
      <c r="O171" s="37">
        <v>0</v>
      </c>
      <c r="P171" s="37">
        <v>0</v>
      </c>
      <c r="Q171" s="37">
        <v>0</v>
      </c>
      <c r="R171" s="37">
        <f t="shared" si="102"/>
        <v>1224</v>
      </c>
      <c r="S171" s="37">
        <f t="shared" si="103"/>
        <v>1224</v>
      </c>
      <c r="T171" s="37">
        <f t="shared" si="103"/>
        <v>0</v>
      </c>
      <c r="U171" s="37">
        <f t="shared" si="103"/>
        <v>0</v>
      </c>
      <c r="V171" s="37">
        <f t="shared" si="104"/>
        <v>0</v>
      </c>
      <c r="W171" s="38">
        <f t="shared" si="95"/>
        <v>0</v>
      </c>
      <c r="X171" s="38">
        <f t="shared" si="96"/>
        <v>0</v>
      </c>
      <c r="Y171" s="38"/>
      <c r="Z171" s="38"/>
      <c r="AA171" s="38"/>
    </row>
    <row r="172" spans="1:27" s="12" customFormat="1" ht="15.75" customHeight="1">
      <c r="A172" s="31" t="s">
        <v>78</v>
      </c>
      <c r="B172" s="32" t="s">
        <v>79</v>
      </c>
      <c r="C172" s="33">
        <f>+C173+C174</f>
        <v>37819.346453999999</v>
      </c>
      <c r="D172" s="33">
        <f t="shared" ref="D172:V172" si="105">+D173+D174</f>
        <v>3306.346454</v>
      </c>
      <c r="E172" s="33">
        <f t="shared" si="105"/>
        <v>3306.346454</v>
      </c>
      <c r="F172" s="33">
        <f t="shared" si="105"/>
        <v>0</v>
      </c>
      <c r="G172" s="33">
        <f t="shared" si="105"/>
        <v>0</v>
      </c>
      <c r="H172" s="33">
        <f t="shared" si="105"/>
        <v>34513</v>
      </c>
      <c r="I172" s="33">
        <f t="shared" si="105"/>
        <v>17405</v>
      </c>
      <c r="J172" s="33">
        <f t="shared" si="105"/>
        <v>0</v>
      </c>
      <c r="K172" s="33">
        <f t="shared" si="105"/>
        <v>0</v>
      </c>
      <c r="L172" s="33">
        <f t="shared" si="105"/>
        <v>17108</v>
      </c>
      <c r="M172" s="33">
        <f t="shared" si="105"/>
        <v>5921.4281729999993</v>
      </c>
      <c r="N172" s="33">
        <f t="shared" si="105"/>
        <v>2782.141173</v>
      </c>
      <c r="O172" s="33">
        <f t="shared" si="105"/>
        <v>0</v>
      </c>
      <c r="P172" s="33">
        <f t="shared" si="105"/>
        <v>0</v>
      </c>
      <c r="Q172" s="33">
        <f t="shared" si="105"/>
        <v>3139.2869999999998</v>
      </c>
      <c r="R172" s="33">
        <f t="shared" si="105"/>
        <v>31897.918280999998</v>
      </c>
      <c r="S172" s="33">
        <f t="shared" si="105"/>
        <v>17929.205280999999</v>
      </c>
      <c r="T172" s="33">
        <f t="shared" si="105"/>
        <v>0</v>
      </c>
      <c r="U172" s="33">
        <f t="shared" si="105"/>
        <v>0</v>
      </c>
      <c r="V172" s="33">
        <f t="shared" si="105"/>
        <v>13968.713</v>
      </c>
      <c r="W172" s="34">
        <f>M172/C172</f>
        <v>0.15657140400885255</v>
      </c>
      <c r="X172" s="34">
        <f>N172/(E172+I172)</f>
        <v>0.13432932422714039</v>
      </c>
      <c r="Y172" s="34"/>
      <c r="Z172" s="34"/>
      <c r="AA172" s="34">
        <f>Q172/L172</f>
        <v>0.18349818798223053</v>
      </c>
    </row>
    <row r="173" spans="1:27" ht="18.75" customHeight="1">
      <c r="A173" s="35" t="s">
        <v>45</v>
      </c>
      <c r="B173" s="36" t="s">
        <v>46</v>
      </c>
      <c r="C173" s="37">
        <f>+D173+H173</f>
        <v>25309.262999999999</v>
      </c>
      <c r="D173" s="37">
        <f>SUM(E173:G173)</f>
        <v>2961.2629999999999</v>
      </c>
      <c r="E173" s="37">
        <v>2961.2629999999999</v>
      </c>
      <c r="F173" s="37">
        <v>0</v>
      </c>
      <c r="G173" s="37">
        <v>0</v>
      </c>
      <c r="H173" s="37">
        <f>SUM(I173:L173)</f>
        <v>22348</v>
      </c>
      <c r="I173" s="37">
        <v>5240</v>
      </c>
      <c r="J173" s="37">
        <v>0</v>
      </c>
      <c r="K173" s="37">
        <v>0</v>
      </c>
      <c r="L173" s="37">
        <v>17108</v>
      </c>
      <c r="M173" s="37">
        <f>SUM(N173:Q173)</f>
        <v>4072.2637369999998</v>
      </c>
      <c r="N173" s="37">
        <v>932.97673699999996</v>
      </c>
      <c r="O173" s="37">
        <v>0</v>
      </c>
      <c r="P173" s="37">
        <v>0</v>
      </c>
      <c r="Q173" s="37">
        <v>3139.2869999999998</v>
      </c>
      <c r="R173" s="37">
        <f>SUM(S173:V173)</f>
        <v>21236.999262999998</v>
      </c>
      <c r="S173" s="37">
        <f>(E173+I173)-N173</f>
        <v>7268.2862629999991</v>
      </c>
      <c r="T173" s="37">
        <f>(F173+J173)-O173</f>
        <v>0</v>
      </c>
      <c r="U173" s="37">
        <f>(G173+K173)-P173</f>
        <v>0</v>
      </c>
      <c r="V173" s="37">
        <f>L173-Q173</f>
        <v>13968.713</v>
      </c>
      <c r="W173" s="38">
        <f t="shared" ref="W173:W188" si="106">M173/C173</f>
        <v>0.16090013118912233</v>
      </c>
      <c r="X173" s="38">
        <f t="shared" ref="X173:X188" si="107">N173/(E173+I173)</f>
        <v>0.11376012901915231</v>
      </c>
      <c r="Y173" s="38"/>
      <c r="Z173" s="38"/>
      <c r="AA173" s="38">
        <f>Q173/L173</f>
        <v>0.18349818798223053</v>
      </c>
    </row>
    <row r="174" spans="1:27" ht="15.75" customHeight="1">
      <c r="A174" s="35" t="s">
        <v>45</v>
      </c>
      <c r="B174" s="36" t="s">
        <v>47</v>
      </c>
      <c r="C174" s="37">
        <f t="shared" ref="C174:V174" si="108">SUM(C175:C189)</f>
        <v>12510.083454</v>
      </c>
      <c r="D174" s="37">
        <f t="shared" si="108"/>
        <v>345.08345399999996</v>
      </c>
      <c r="E174" s="37">
        <f t="shared" si="108"/>
        <v>345.08345399999996</v>
      </c>
      <c r="F174" s="37">
        <f t="shared" si="108"/>
        <v>0</v>
      </c>
      <c r="G174" s="37">
        <f t="shared" si="108"/>
        <v>0</v>
      </c>
      <c r="H174" s="37">
        <f t="shared" si="108"/>
        <v>12165</v>
      </c>
      <c r="I174" s="37">
        <f t="shared" si="108"/>
        <v>12165</v>
      </c>
      <c r="J174" s="37">
        <f t="shared" si="108"/>
        <v>0</v>
      </c>
      <c r="K174" s="37">
        <f t="shared" si="108"/>
        <v>0</v>
      </c>
      <c r="L174" s="37">
        <f t="shared" si="108"/>
        <v>0</v>
      </c>
      <c r="M174" s="37">
        <f t="shared" si="108"/>
        <v>1849.1644359999998</v>
      </c>
      <c r="N174" s="37">
        <f t="shared" si="108"/>
        <v>1849.1644359999998</v>
      </c>
      <c r="O174" s="37">
        <f t="shared" si="108"/>
        <v>0</v>
      </c>
      <c r="P174" s="37">
        <f t="shared" si="108"/>
        <v>0</v>
      </c>
      <c r="Q174" s="37">
        <f t="shared" si="108"/>
        <v>0</v>
      </c>
      <c r="R174" s="37">
        <f t="shared" si="108"/>
        <v>10660.919018000001</v>
      </c>
      <c r="S174" s="37">
        <f t="shared" si="108"/>
        <v>10660.919018000001</v>
      </c>
      <c r="T174" s="37">
        <f t="shared" si="108"/>
        <v>0</v>
      </c>
      <c r="U174" s="37">
        <f t="shared" si="108"/>
        <v>0</v>
      </c>
      <c r="V174" s="37">
        <f t="shared" si="108"/>
        <v>0</v>
      </c>
      <c r="W174" s="38">
        <f t="shared" si="106"/>
        <v>0.14781391689347556</v>
      </c>
      <c r="X174" s="38">
        <f t="shared" si="107"/>
        <v>0.14781391689347556</v>
      </c>
      <c r="Y174" s="38"/>
      <c r="Z174" s="38"/>
      <c r="AA174" s="38"/>
    </row>
    <row r="175" spans="1:27" ht="15.75" hidden="1" customHeight="1">
      <c r="A175" s="35" t="s">
        <v>48</v>
      </c>
      <c r="B175" s="36" t="s">
        <v>49</v>
      </c>
      <c r="C175" s="37">
        <f t="shared" ref="C175:C189" si="109">+D175+H175</f>
        <v>3875.0834540000001</v>
      </c>
      <c r="D175" s="37">
        <f t="shared" ref="D175:D189" si="110">SUM(E175:G175)</f>
        <v>335.08345399999996</v>
      </c>
      <c r="E175" s="37">
        <v>335.08345399999996</v>
      </c>
      <c r="F175" s="37">
        <v>0</v>
      </c>
      <c r="G175" s="37">
        <v>0</v>
      </c>
      <c r="H175" s="37">
        <f t="shared" ref="H175:H189" si="111">SUM(I175:L175)</f>
        <v>3540</v>
      </c>
      <c r="I175" s="37">
        <v>3540</v>
      </c>
      <c r="J175" s="37">
        <v>0</v>
      </c>
      <c r="K175" s="37">
        <v>0</v>
      </c>
      <c r="L175" s="37">
        <v>0</v>
      </c>
      <c r="M175" s="37">
        <f t="shared" ref="M175:M189" si="112">SUM(N175:Q175)</f>
        <v>1660.9644359999998</v>
      </c>
      <c r="N175" s="37">
        <v>1660.9644359999998</v>
      </c>
      <c r="O175" s="37">
        <v>0</v>
      </c>
      <c r="P175" s="37">
        <v>0</v>
      </c>
      <c r="Q175" s="37">
        <v>0</v>
      </c>
      <c r="R175" s="37">
        <f t="shared" ref="R175:R189" si="113">SUM(S175:V175)</f>
        <v>2214.1190180000003</v>
      </c>
      <c r="S175" s="37">
        <f t="shared" ref="S175:U189" si="114">(E175+I175)-N175</f>
        <v>2214.1190180000003</v>
      </c>
      <c r="T175" s="37">
        <f t="shared" si="114"/>
        <v>0</v>
      </c>
      <c r="U175" s="37">
        <f t="shared" si="114"/>
        <v>0</v>
      </c>
      <c r="V175" s="37">
        <f t="shared" ref="V175:V189" si="115">L175-Q175</f>
        <v>0</v>
      </c>
      <c r="W175" s="38">
        <f t="shared" si="106"/>
        <v>0.42862675235690545</v>
      </c>
      <c r="X175" s="38">
        <f t="shared" si="107"/>
        <v>0.42862675235690545</v>
      </c>
      <c r="Y175" s="38"/>
      <c r="Z175" s="38"/>
      <c r="AA175" s="38"/>
    </row>
    <row r="176" spans="1:27" ht="15.75" hidden="1" customHeight="1">
      <c r="A176" s="35" t="s">
        <v>48</v>
      </c>
      <c r="B176" s="36" t="s">
        <v>50</v>
      </c>
      <c r="C176" s="37">
        <f t="shared" si="109"/>
        <v>2490</v>
      </c>
      <c r="D176" s="37">
        <f t="shared" si="110"/>
        <v>0</v>
      </c>
      <c r="E176" s="37">
        <v>0</v>
      </c>
      <c r="F176" s="37">
        <v>0</v>
      </c>
      <c r="G176" s="37">
        <v>0</v>
      </c>
      <c r="H176" s="37">
        <f t="shared" si="111"/>
        <v>2490</v>
      </c>
      <c r="I176" s="37">
        <v>2490</v>
      </c>
      <c r="J176" s="37">
        <v>0</v>
      </c>
      <c r="K176" s="37">
        <v>0</v>
      </c>
      <c r="L176" s="37">
        <v>0</v>
      </c>
      <c r="M176" s="37">
        <f t="shared" si="112"/>
        <v>25.2</v>
      </c>
      <c r="N176" s="37">
        <v>25.2</v>
      </c>
      <c r="O176" s="37">
        <v>0</v>
      </c>
      <c r="P176" s="37">
        <v>0</v>
      </c>
      <c r="Q176" s="37">
        <v>0</v>
      </c>
      <c r="R176" s="37">
        <f t="shared" si="113"/>
        <v>2464.8000000000002</v>
      </c>
      <c r="S176" s="37">
        <f t="shared" si="114"/>
        <v>2464.8000000000002</v>
      </c>
      <c r="T176" s="37">
        <f t="shared" si="114"/>
        <v>0</v>
      </c>
      <c r="U176" s="37">
        <f t="shared" si="114"/>
        <v>0</v>
      </c>
      <c r="V176" s="37">
        <f t="shared" si="115"/>
        <v>0</v>
      </c>
      <c r="W176" s="38">
        <f t="shared" si="106"/>
        <v>1.0120481927710843E-2</v>
      </c>
      <c r="X176" s="38">
        <f t="shared" si="107"/>
        <v>1.0120481927710843E-2</v>
      </c>
      <c r="Y176" s="38"/>
      <c r="Z176" s="38"/>
      <c r="AA176" s="38"/>
    </row>
    <row r="177" spans="1:27" ht="15.75" hidden="1" customHeight="1">
      <c r="A177" s="35" t="s">
        <v>48</v>
      </c>
      <c r="B177" s="36" t="s">
        <v>51</v>
      </c>
      <c r="C177" s="37">
        <f t="shared" si="109"/>
        <v>315</v>
      </c>
      <c r="D177" s="37">
        <f t="shared" si="110"/>
        <v>0</v>
      </c>
      <c r="E177" s="37">
        <v>0</v>
      </c>
      <c r="F177" s="37">
        <v>0</v>
      </c>
      <c r="G177" s="37">
        <v>0</v>
      </c>
      <c r="H177" s="37">
        <f t="shared" si="111"/>
        <v>315</v>
      </c>
      <c r="I177" s="37">
        <v>315</v>
      </c>
      <c r="J177" s="37">
        <v>0</v>
      </c>
      <c r="K177" s="37">
        <v>0</v>
      </c>
      <c r="L177" s="37">
        <v>0</v>
      </c>
      <c r="M177" s="37">
        <f t="shared" si="112"/>
        <v>0</v>
      </c>
      <c r="N177" s="37">
        <v>0</v>
      </c>
      <c r="O177" s="37">
        <v>0</v>
      </c>
      <c r="P177" s="37">
        <v>0</v>
      </c>
      <c r="Q177" s="37">
        <v>0</v>
      </c>
      <c r="R177" s="37">
        <f t="shared" si="113"/>
        <v>315</v>
      </c>
      <c r="S177" s="37">
        <f t="shared" si="114"/>
        <v>315</v>
      </c>
      <c r="T177" s="37">
        <f t="shared" si="114"/>
        <v>0</v>
      </c>
      <c r="U177" s="37">
        <f t="shared" si="114"/>
        <v>0</v>
      </c>
      <c r="V177" s="37">
        <f t="shared" si="115"/>
        <v>0</v>
      </c>
      <c r="W177" s="38">
        <f t="shared" si="106"/>
        <v>0</v>
      </c>
      <c r="X177" s="38">
        <f t="shared" si="107"/>
        <v>0</v>
      </c>
      <c r="Y177" s="38"/>
      <c r="Z177" s="38"/>
      <c r="AA177" s="38"/>
    </row>
    <row r="178" spans="1:27" ht="24" hidden="1" customHeight="1">
      <c r="A178" s="35" t="s">
        <v>48</v>
      </c>
      <c r="B178" s="36" t="s">
        <v>52</v>
      </c>
      <c r="C178" s="37">
        <f t="shared" si="109"/>
        <v>315</v>
      </c>
      <c r="D178" s="37">
        <f t="shared" si="110"/>
        <v>0</v>
      </c>
      <c r="E178" s="37">
        <v>0</v>
      </c>
      <c r="F178" s="37">
        <v>0</v>
      </c>
      <c r="G178" s="37">
        <v>0</v>
      </c>
      <c r="H178" s="37">
        <f t="shared" si="111"/>
        <v>315</v>
      </c>
      <c r="I178" s="37">
        <v>315</v>
      </c>
      <c r="J178" s="37">
        <v>0</v>
      </c>
      <c r="K178" s="37">
        <v>0</v>
      </c>
      <c r="L178" s="37">
        <v>0</v>
      </c>
      <c r="M178" s="37">
        <f t="shared" si="112"/>
        <v>0</v>
      </c>
      <c r="N178" s="37">
        <v>0</v>
      </c>
      <c r="O178" s="37">
        <v>0</v>
      </c>
      <c r="P178" s="37">
        <v>0</v>
      </c>
      <c r="Q178" s="37">
        <v>0</v>
      </c>
      <c r="R178" s="37">
        <f t="shared" si="113"/>
        <v>315</v>
      </c>
      <c r="S178" s="37">
        <f t="shared" si="114"/>
        <v>315</v>
      </c>
      <c r="T178" s="37">
        <f t="shared" si="114"/>
        <v>0</v>
      </c>
      <c r="U178" s="37">
        <f t="shared" si="114"/>
        <v>0</v>
      </c>
      <c r="V178" s="37">
        <f t="shared" si="115"/>
        <v>0</v>
      </c>
      <c r="W178" s="38">
        <f t="shared" si="106"/>
        <v>0</v>
      </c>
      <c r="X178" s="38">
        <f t="shared" si="107"/>
        <v>0</v>
      </c>
      <c r="Y178" s="38"/>
      <c r="Z178" s="38"/>
      <c r="AA178" s="38"/>
    </row>
    <row r="179" spans="1:27" ht="25.5" hidden="1" customHeight="1">
      <c r="A179" s="35" t="s">
        <v>48</v>
      </c>
      <c r="B179" s="36" t="s">
        <v>53</v>
      </c>
      <c r="C179" s="37">
        <f t="shared" si="109"/>
        <v>200</v>
      </c>
      <c r="D179" s="37">
        <f t="shared" si="110"/>
        <v>0</v>
      </c>
      <c r="E179" s="37">
        <v>0</v>
      </c>
      <c r="F179" s="37">
        <v>0</v>
      </c>
      <c r="G179" s="37">
        <v>0</v>
      </c>
      <c r="H179" s="37">
        <f t="shared" si="111"/>
        <v>200</v>
      </c>
      <c r="I179" s="37">
        <v>200</v>
      </c>
      <c r="J179" s="37">
        <v>0</v>
      </c>
      <c r="K179" s="37">
        <v>0</v>
      </c>
      <c r="L179" s="37">
        <v>0</v>
      </c>
      <c r="M179" s="37">
        <f t="shared" si="112"/>
        <v>0</v>
      </c>
      <c r="N179" s="37">
        <v>0</v>
      </c>
      <c r="O179" s="37">
        <v>0</v>
      </c>
      <c r="P179" s="37">
        <v>0</v>
      </c>
      <c r="Q179" s="37">
        <v>0</v>
      </c>
      <c r="R179" s="37">
        <f t="shared" si="113"/>
        <v>200</v>
      </c>
      <c r="S179" s="37">
        <f t="shared" si="114"/>
        <v>200</v>
      </c>
      <c r="T179" s="37">
        <f t="shared" si="114"/>
        <v>0</v>
      </c>
      <c r="U179" s="37">
        <f t="shared" si="114"/>
        <v>0</v>
      </c>
      <c r="V179" s="37">
        <f t="shared" si="115"/>
        <v>0</v>
      </c>
      <c r="W179" s="38">
        <f t="shared" si="106"/>
        <v>0</v>
      </c>
      <c r="X179" s="38">
        <f t="shared" si="107"/>
        <v>0</v>
      </c>
      <c r="Y179" s="38"/>
      <c r="Z179" s="38"/>
      <c r="AA179" s="38"/>
    </row>
    <row r="180" spans="1:27" ht="26.25" hidden="1" customHeight="1">
      <c r="A180" s="35" t="s">
        <v>48</v>
      </c>
      <c r="B180" s="36" t="s">
        <v>54</v>
      </c>
      <c r="C180" s="37">
        <f t="shared" si="109"/>
        <v>0</v>
      </c>
      <c r="D180" s="37">
        <f t="shared" si="110"/>
        <v>0</v>
      </c>
      <c r="E180" s="37">
        <v>0</v>
      </c>
      <c r="F180" s="37">
        <v>0</v>
      </c>
      <c r="G180" s="37">
        <v>0</v>
      </c>
      <c r="H180" s="37">
        <f t="shared" si="111"/>
        <v>0</v>
      </c>
      <c r="I180" s="37">
        <v>0</v>
      </c>
      <c r="J180" s="37">
        <v>0</v>
      </c>
      <c r="K180" s="37">
        <v>0</v>
      </c>
      <c r="L180" s="37">
        <v>0</v>
      </c>
      <c r="M180" s="37">
        <f t="shared" si="112"/>
        <v>0</v>
      </c>
      <c r="N180" s="37">
        <v>0</v>
      </c>
      <c r="O180" s="37">
        <v>0</v>
      </c>
      <c r="P180" s="37">
        <v>0</v>
      </c>
      <c r="Q180" s="37">
        <v>0</v>
      </c>
      <c r="R180" s="37">
        <f t="shared" si="113"/>
        <v>0</v>
      </c>
      <c r="S180" s="37">
        <f t="shared" si="114"/>
        <v>0</v>
      </c>
      <c r="T180" s="37">
        <f t="shared" si="114"/>
        <v>0</v>
      </c>
      <c r="U180" s="37">
        <f t="shared" si="114"/>
        <v>0</v>
      </c>
      <c r="V180" s="37">
        <f t="shared" si="115"/>
        <v>0</v>
      </c>
      <c r="W180" s="38"/>
      <c r="X180" s="38"/>
      <c r="Y180" s="38"/>
      <c r="Z180" s="38"/>
      <c r="AA180" s="38"/>
    </row>
    <row r="181" spans="1:27" ht="20.25" hidden="1" customHeight="1">
      <c r="A181" s="35" t="s">
        <v>48</v>
      </c>
      <c r="B181" s="36" t="s">
        <v>55</v>
      </c>
      <c r="C181" s="37">
        <f t="shared" si="109"/>
        <v>420</v>
      </c>
      <c r="D181" s="37">
        <f t="shared" si="110"/>
        <v>0</v>
      </c>
      <c r="E181" s="37">
        <v>0</v>
      </c>
      <c r="F181" s="37">
        <v>0</v>
      </c>
      <c r="G181" s="37">
        <v>0</v>
      </c>
      <c r="H181" s="37">
        <f t="shared" si="111"/>
        <v>420</v>
      </c>
      <c r="I181" s="37">
        <v>420</v>
      </c>
      <c r="J181" s="37">
        <v>0</v>
      </c>
      <c r="K181" s="37">
        <v>0</v>
      </c>
      <c r="L181" s="37">
        <v>0</v>
      </c>
      <c r="M181" s="37">
        <f t="shared" si="112"/>
        <v>0</v>
      </c>
      <c r="N181" s="37">
        <v>0</v>
      </c>
      <c r="O181" s="37">
        <v>0</v>
      </c>
      <c r="P181" s="37">
        <v>0</v>
      </c>
      <c r="Q181" s="37">
        <v>0</v>
      </c>
      <c r="R181" s="37">
        <f t="shared" si="113"/>
        <v>420</v>
      </c>
      <c r="S181" s="37">
        <f t="shared" si="114"/>
        <v>420</v>
      </c>
      <c r="T181" s="37">
        <f t="shared" si="114"/>
        <v>0</v>
      </c>
      <c r="U181" s="37">
        <f t="shared" si="114"/>
        <v>0</v>
      </c>
      <c r="V181" s="37">
        <f t="shared" si="115"/>
        <v>0</v>
      </c>
      <c r="W181" s="38">
        <f t="shared" si="106"/>
        <v>0</v>
      </c>
      <c r="X181" s="38">
        <f t="shared" si="107"/>
        <v>0</v>
      </c>
      <c r="Y181" s="38"/>
      <c r="Z181" s="38"/>
      <c r="AA181" s="38"/>
    </row>
    <row r="182" spans="1:27" ht="15.75" hidden="1" customHeight="1">
      <c r="A182" s="35" t="s">
        <v>48</v>
      </c>
      <c r="B182" s="36" t="s">
        <v>56</v>
      </c>
      <c r="C182" s="37">
        <f t="shared" si="109"/>
        <v>1260</v>
      </c>
      <c r="D182" s="37">
        <f t="shared" si="110"/>
        <v>0</v>
      </c>
      <c r="E182" s="37">
        <v>0</v>
      </c>
      <c r="F182" s="37">
        <v>0</v>
      </c>
      <c r="G182" s="37">
        <v>0</v>
      </c>
      <c r="H182" s="37">
        <f t="shared" si="111"/>
        <v>1260</v>
      </c>
      <c r="I182" s="37">
        <v>1260</v>
      </c>
      <c r="J182" s="37">
        <v>0</v>
      </c>
      <c r="K182" s="37">
        <v>0</v>
      </c>
      <c r="L182" s="37">
        <v>0</v>
      </c>
      <c r="M182" s="37">
        <f t="shared" si="112"/>
        <v>36</v>
      </c>
      <c r="N182" s="37">
        <v>36</v>
      </c>
      <c r="O182" s="37">
        <v>0</v>
      </c>
      <c r="P182" s="37">
        <v>0</v>
      </c>
      <c r="Q182" s="37">
        <v>0</v>
      </c>
      <c r="R182" s="37">
        <f t="shared" si="113"/>
        <v>1224</v>
      </c>
      <c r="S182" s="37">
        <f t="shared" si="114"/>
        <v>1224</v>
      </c>
      <c r="T182" s="37">
        <f t="shared" si="114"/>
        <v>0</v>
      </c>
      <c r="U182" s="37">
        <f t="shared" si="114"/>
        <v>0</v>
      </c>
      <c r="V182" s="37">
        <f t="shared" si="115"/>
        <v>0</v>
      </c>
      <c r="W182" s="38">
        <f t="shared" si="106"/>
        <v>2.8571428571428571E-2</v>
      </c>
      <c r="X182" s="38">
        <f t="shared" si="107"/>
        <v>2.8571428571428571E-2</v>
      </c>
      <c r="Y182" s="38"/>
      <c r="Z182" s="38"/>
      <c r="AA182" s="38"/>
    </row>
    <row r="183" spans="1:27" ht="15.75" hidden="1" customHeight="1">
      <c r="A183" s="35" t="s">
        <v>48</v>
      </c>
      <c r="B183" s="36" t="s">
        <v>57</v>
      </c>
      <c r="C183" s="37">
        <f t="shared" si="109"/>
        <v>698</v>
      </c>
      <c r="D183" s="37">
        <f t="shared" si="110"/>
        <v>0</v>
      </c>
      <c r="E183" s="37">
        <v>0</v>
      </c>
      <c r="F183" s="37">
        <v>0</v>
      </c>
      <c r="G183" s="37">
        <v>0</v>
      </c>
      <c r="H183" s="37">
        <f t="shared" si="111"/>
        <v>698</v>
      </c>
      <c r="I183" s="37">
        <v>698</v>
      </c>
      <c r="J183" s="37">
        <v>0</v>
      </c>
      <c r="K183" s="37">
        <v>0</v>
      </c>
      <c r="L183" s="37">
        <v>0</v>
      </c>
      <c r="M183" s="37">
        <f t="shared" si="112"/>
        <v>97</v>
      </c>
      <c r="N183" s="37">
        <v>97</v>
      </c>
      <c r="O183" s="37">
        <v>0</v>
      </c>
      <c r="P183" s="37">
        <v>0</v>
      </c>
      <c r="Q183" s="37">
        <v>0</v>
      </c>
      <c r="R183" s="37">
        <f t="shared" si="113"/>
        <v>601</v>
      </c>
      <c r="S183" s="37">
        <f t="shared" si="114"/>
        <v>601</v>
      </c>
      <c r="T183" s="37">
        <f t="shared" si="114"/>
        <v>0</v>
      </c>
      <c r="U183" s="37">
        <f t="shared" si="114"/>
        <v>0</v>
      </c>
      <c r="V183" s="37">
        <f t="shared" si="115"/>
        <v>0</v>
      </c>
      <c r="W183" s="38">
        <f t="shared" si="106"/>
        <v>0.13896848137535817</v>
      </c>
      <c r="X183" s="38">
        <f t="shared" si="107"/>
        <v>0.13896848137535817</v>
      </c>
      <c r="Y183" s="38"/>
      <c r="Z183" s="38"/>
      <c r="AA183" s="38"/>
    </row>
    <row r="184" spans="1:27" ht="15.75" hidden="1" customHeight="1">
      <c r="A184" s="35" t="s">
        <v>48</v>
      </c>
      <c r="B184" s="36" t="s">
        <v>58</v>
      </c>
      <c r="C184" s="37">
        <f t="shared" si="109"/>
        <v>600</v>
      </c>
      <c r="D184" s="37">
        <f t="shared" si="110"/>
        <v>0</v>
      </c>
      <c r="E184" s="37">
        <v>0</v>
      </c>
      <c r="F184" s="37">
        <v>0</v>
      </c>
      <c r="G184" s="37">
        <v>0</v>
      </c>
      <c r="H184" s="37">
        <f t="shared" si="111"/>
        <v>600</v>
      </c>
      <c r="I184" s="37">
        <v>600</v>
      </c>
      <c r="J184" s="37">
        <v>0</v>
      </c>
      <c r="K184" s="37">
        <v>0</v>
      </c>
      <c r="L184" s="37">
        <v>0</v>
      </c>
      <c r="M184" s="37">
        <f t="shared" si="112"/>
        <v>0</v>
      </c>
      <c r="N184" s="37">
        <v>0</v>
      </c>
      <c r="O184" s="37">
        <v>0</v>
      </c>
      <c r="P184" s="37">
        <v>0</v>
      </c>
      <c r="Q184" s="37">
        <v>0</v>
      </c>
      <c r="R184" s="37">
        <f t="shared" si="113"/>
        <v>600</v>
      </c>
      <c r="S184" s="37">
        <f t="shared" si="114"/>
        <v>600</v>
      </c>
      <c r="T184" s="37">
        <f t="shared" si="114"/>
        <v>0</v>
      </c>
      <c r="U184" s="37">
        <f t="shared" si="114"/>
        <v>0</v>
      </c>
      <c r="V184" s="37">
        <f t="shared" si="115"/>
        <v>0</v>
      </c>
      <c r="W184" s="38">
        <f t="shared" si="106"/>
        <v>0</v>
      </c>
      <c r="X184" s="38">
        <f t="shared" si="107"/>
        <v>0</v>
      </c>
      <c r="Y184" s="38"/>
      <c r="Z184" s="38"/>
      <c r="AA184" s="38"/>
    </row>
    <row r="185" spans="1:27" ht="15.75" hidden="1" customHeight="1">
      <c r="A185" s="35" t="s">
        <v>48</v>
      </c>
      <c r="B185" s="36" t="s">
        <v>59</v>
      </c>
      <c r="C185" s="37">
        <f t="shared" si="109"/>
        <v>1100</v>
      </c>
      <c r="D185" s="37">
        <f t="shared" si="110"/>
        <v>0</v>
      </c>
      <c r="E185" s="37">
        <v>0</v>
      </c>
      <c r="F185" s="37">
        <v>0</v>
      </c>
      <c r="G185" s="37">
        <v>0</v>
      </c>
      <c r="H185" s="37">
        <f t="shared" si="111"/>
        <v>1100</v>
      </c>
      <c r="I185" s="37">
        <v>1100</v>
      </c>
      <c r="J185" s="37">
        <v>0</v>
      </c>
      <c r="K185" s="37">
        <v>0</v>
      </c>
      <c r="L185" s="37">
        <v>0</v>
      </c>
      <c r="M185" s="37">
        <f t="shared" si="112"/>
        <v>0</v>
      </c>
      <c r="N185" s="37">
        <v>0</v>
      </c>
      <c r="O185" s="37">
        <v>0</v>
      </c>
      <c r="P185" s="37">
        <v>0</v>
      </c>
      <c r="Q185" s="37">
        <v>0</v>
      </c>
      <c r="R185" s="37">
        <f t="shared" si="113"/>
        <v>1100</v>
      </c>
      <c r="S185" s="37">
        <f t="shared" si="114"/>
        <v>1100</v>
      </c>
      <c r="T185" s="37">
        <f t="shared" si="114"/>
        <v>0</v>
      </c>
      <c r="U185" s="37">
        <f t="shared" si="114"/>
        <v>0</v>
      </c>
      <c r="V185" s="37">
        <f t="shared" si="115"/>
        <v>0</v>
      </c>
      <c r="W185" s="38">
        <f t="shared" si="106"/>
        <v>0</v>
      </c>
      <c r="X185" s="38">
        <f t="shared" si="107"/>
        <v>0</v>
      </c>
      <c r="Y185" s="38"/>
      <c r="Z185" s="38"/>
      <c r="AA185" s="38"/>
    </row>
    <row r="186" spans="1:27" ht="15.75" hidden="1" customHeight="1">
      <c r="A186" s="35" t="s">
        <v>48</v>
      </c>
      <c r="B186" s="36" t="s">
        <v>60</v>
      </c>
      <c r="C186" s="37">
        <f t="shared" si="109"/>
        <v>300</v>
      </c>
      <c r="D186" s="37">
        <f t="shared" si="110"/>
        <v>0</v>
      </c>
      <c r="E186" s="37">
        <v>0</v>
      </c>
      <c r="F186" s="37">
        <v>0</v>
      </c>
      <c r="G186" s="37">
        <v>0</v>
      </c>
      <c r="H186" s="37">
        <f t="shared" si="111"/>
        <v>300</v>
      </c>
      <c r="I186" s="37">
        <v>300</v>
      </c>
      <c r="J186" s="37">
        <v>0</v>
      </c>
      <c r="K186" s="37">
        <v>0</v>
      </c>
      <c r="L186" s="37">
        <v>0</v>
      </c>
      <c r="M186" s="37">
        <f t="shared" si="112"/>
        <v>0</v>
      </c>
      <c r="N186" s="37">
        <v>0</v>
      </c>
      <c r="O186" s="37">
        <v>0</v>
      </c>
      <c r="P186" s="37">
        <v>0</v>
      </c>
      <c r="Q186" s="37">
        <v>0</v>
      </c>
      <c r="R186" s="37">
        <f t="shared" si="113"/>
        <v>300</v>
      </c>
      <c r="S186" s="37">
        <f t="shared" si="114"/>
        <v>300</v>
      </c>
      <c r="T186" s="37">
        <f t="shared" si="114"/>
        <v>0</v>
      </c>
      <c r="U186" s="37">
        <f t="shared" si="114"/>
        <v>0</v>
      </c>
      <c r="V186" s="37">
        <f t="shared" si="115"/>
        <v>0</v>
      </c>
      <c r="W186" s="38">
        <f t="shared" si="106"/>
        <v>0</v>
      </c>
      <c r="X186" s="38">
        <f t="shared" si="107"/>
        <v>0</v>
      </c>
      <c r="Y186" s="38"/>
      <c r="Z186" s="38"/>
      <c r="AA186" s="38"/>
    </row>
    <row r="187" spans="1:27" ht="21" hidden="1">
      <c r="A187" s="35" t="s">
        <v>48</v>
      </c>
      <c r="B187" s="36" t="s">
        <v>61</v>
      </c>
      <c r="C187" s="37">
        <f t="shared" si="109"/>
        <v>29</v>
      </c>
      <c r="D187" s="37">
        <f t="shared" si="110"/>
        <v>0</v>
      </c>
      <c r="E187" s="37">
        <v>0</v>
      </c>
      <c r="F187" s="37">
        <v>0</v>
      </c>
      <c r="G187" s="37">
        <v>0</v>
      </c>
      <c r="H187" s="37">
        <f t="shared" si="111"/>
        <v>29</v>
      </c>
      <c r="I187" s="37">
        <v>29</v>
      </c>
      <c r="J187" s="37">
        <v>0</v>
      </c>
      <c r="K187" s="37">
        <v>0</v>
      </c>
      <c r="L187" s="37">
        <v>0</v>
      </c>
      <c r="M187" s="37">
        <f t="shared" si="112"/>
        <v>0</v>
      </c>
      <c r="N187" s="37">
        <v>0</v>
      </c>
      <c r="O187" s="37">
        <v>0</v>
      </c>
      <c r="P187" s="37">
        <v>0</v>
      </c>
      <c r="Q187" s="37">
        <v>0</v>
      </c>
      <c r="R187" s="37">
        <f t="shared" si="113"/>
        <v>29</v>
      </c>
      <c r="S187" s="37">
        <f t="shared" si="114"/>
        <v>29</v>
      </c>
      <c r="T187" s="37">
        <f t="shared" si="114"/>
        <v>0</v>
      </c>
      <c r="U187" s="37">
        <f t="shared" si="114"/>
        <v>0</v>
      </c>
      <c r="V187" s="37">
        <f t="shared" si="115"/>
        <v>0</v>
      </c>
      <c r="W187" s="38">
        <f t="shared" si="106"/>
        <v>0</v>
      </c>
      <c r="X187" s="38">
        <f t="shared" si="107"/>
        <v>0</v>
      </c>
      <c r="Y187" s="38"/>
      <c r="Z187" s="38"/>
      <c r="AA187" s="38"/>
    </row>
    <row r="188" spans="1:27" ht="18.75" hidden="1" customHeight="1">
      <c r="A188" s="35" t="s">
        <v>48</v>
      </c>
      <c r="B188" s="36" t="s">
        <v>62</v>
      </c>
      <c r="C188" s="37">
        <f t="shared" si="109"/>
        <v>908</v>
      </c>
      <c r="D188" s="37">
        <f t="shared" si="110"/>
        <v>10</v>
      </c>
      <c r="E188" s="37">
        <v>10</v>
      </c>
      <c r="F188" s="37">
        <v>0</v>
      </c>
      <c r="G188" s="37">
        <v>0</v>
      </c>
      <c r="H188" s="37">
        <f t="shared" si="111"/>
        <v>898</v>
      </c>
      <c r="I188" s="37">
        <v>898</v>
      </c>
      <c r="J188" s="37">
        <v>0</v>
      </c>
      <c r="K188" s="37">
        <v>0</v>
      </c>
      <c r="L188" s="37">
        <v>0</v>
      </c>
      <c r="M188" s="37">
        <f t="shared" si="112"/>
        <v>30</v>
      </c>
      <c r="N188" s="37">
        <v>30</v>
      </c>
      <c r="O188" s="37">
        <v>0</v>
      </c>
      <c r="P188" s="37">
        <v>0</v>
      </c>
      <c r="Q188" s="37">
        <v>0</v>
      </c>
      <c r="R188" s="37">
        <f t="shared" si="113"/>
        <v>878</v>
      </c>
      <c r="S188" s="37">
        <f t="shared" si="114"/>
        <v>878</v>
      </c>
      <c r="T188" s="37">
        <f t="shared" si="114"/>
        <v>0</v>
      </c>
      <c r="U188" s="37">
        <f t="shared" si="114"/>
        <v>0</v>
      </c>
      <c r="V188" s="37">
        <f t="shared" si="115"/>
        <v>0</v>
      </c>
      <c r="W188" s="38">
        <f t="shared" si="106"/>
        <v>3.3039647577092511E-2</v>
      </c>
      <c r="X188" s="38">
        <f t="shared" si="107"/>
        <v>3.3039647577092511E-2</v>
      </c>
      <c r="Y188" s="38"/>
      <c r="Z188" s="38"/>
      <c r="AA188" s="38"/>
    </row>
    <row r="189" spans="1:27" ht="22.5" hidden="1" customHeight="1">
      <c r="A189" s="35" t="s">
        <v>48</v>
      </c>
      <c r="B189" s="36" t="s">
        <v>63</v>
      </c>
      <c r="C189" s="37">
        <f t="shared" si="109"/>
        <v>0</v>
      </c>
      <c r="D189" s="37">
        <f t="shared" si="110"/>
        <v>0</v>
      </c>
      <c r="E189" s="37">
        <v>0</v>
      </c>
      <c r="F189" s="37">
        <v>0</v>
      </c>
      <c r="G189" s="37">
        <v>0</v>
      </c>
      <c r="H189" s="37">
        <f t="shared" si="111"/>
        <v>0</v>
      </c>
      <c r="I189" s="37">
        <v>0</v>
      </c>
      <c r="J189" s="37">
        <v>0</v>
      </c>
      <c r="K189" s="37">
        <v>0</v>
      </c>
      <c r="L189" s="37">
        <v>0</v>
      </c>
      <c r="M189" s="37">
        <f t="shared" si="112"/>
        <v>0</v>
      </c>
      <c r="N189" s="37">
        <v>0</v>
      </c>
      <c r="O189" s="37">
        <v>0</v>
      </c>
      <c r="P189" s="37">
        <v>0</v>
      </c>
      <c r="Q189" s="37">
        <v>0</v>
      </c>
      <c r="R189" s="37">
        <f t="shared" si="113"/>
        <v>0</v>
      </c>
      <c r="S189" s="37">
        <f t="shared" si="114"/>
        <v>0</v>
      </c>
      <c r="T189" s="37">
        <f t="shared" si="114"/>
        <v>0</v>
      </c>
      <c r="U189" s="37">
        <f t="shared" si="114"/>
        <v>0</v>
      </c>
      <c r="V189" s="37">
        <f t="shared" si="115"/>
        <v>0</v>
      </c>
      <c r="W189" s="38"/>
      <c r="X189" s="38"/>
      <c r="Y189" s="38"/>
      <c r="Z189" s="38"/>
      <c r="AA189" s="38"/>
    </row>
    <row r="190" spans="1:27" s="12" customFormat="1" ht="15.75" customHeight="1">
      <c r="A190" s="31" t="s">
        <v>80</v>
      </c>
      <c r="B190" s="32" t="s">
        <v>81</v>
      </c>
      <c r="C190" s="33">
        <f>+C192+C191</f>
        <v>1562</v>
      </c>
      <c r="D190" s="33">
        <f t="shared" ref="D190:U190" si="116">+D192+D191</f>
        <v>0</v>
      </c>
      <c r="E190" s="33">
        <f t="shared" si="116"/>
        <v>0</v>
      </c>
      <c r="F190" s="33">
        <f t="shared" si="116"/>
        <v>0</v>
      </c>
      <c r="G190" s="33">
        <f t="shared" si="116"/>
        <v>0</v>
      </c>
      <c r="H190" s="33">
        <f t="shared" si="116"/>
        <v>1562</v>
      </c>
      <c r="I190" s="33">
        <f t="shared" si="116"/>
        <v>1157</v>
      </c>
      <c r="J190" s="33">
        <f t="shared" si="116"/>
        <v>0</v>
      </c>
      <c r="K190" s="33">
        <f t="shared" si="116"/>
        <v>0</v>
      </c>
      <c r="L190" s="33">
        <f t="shared" si="116"/>
        <v>405</v>
      </c>
      <c r="M190" s="33">
        <f t="shared" si="116"/>
        <v>0</v>
      </c>
      <c r="N190" s="33">
        <f t="shared" si="116"/>
        <v>0</v>
      </c>
      <c r="O190" s="33">
        <f t="shared" si="116"/>
        <v>0</v>
      </c>
      <c r="P190" s="33">
        <f t="shared" si="116"/>
        <v>0</v>
      </c>
      <c r="Q190" s="33">
        <f t="shared" si="116"/>
        <v>0</v>
      </c>
      <c r="R190" s="33">
        <f t="shared" si="116"/>
        <v>1562</v>
      </c>
      <c r="S190" s="33">
        <f t="shared" si="116"/>
        <v>1157</v>
      </c>
      <c r="T190" s="33">
        <f t="shared" si="116"/>
        <v>0</v>
      </c>
      <c r="U190" s="33">
        <f t="shared" si="116"/>
        <v>0</v>
      </c>
      <c r="V190" s="33">
        <f>+V192+V191</f>
        <v>405</v>
      </c>
      <c r="W190" s="34">
        <f>M190/C190</f>
        <v>0</v>
      </c>
      <c r="X190" s="34">
        <f>N190/(E190+I190)</f>
        <v>0</v>
      </c>
      <c r="Y190" s="34"/>
      <c r="Z190" s="34"/>
      <c r="AA190" s="34">
        <f>Q190/L190</f>
        <v>0</v>
      </c>
    </row>
    <row r="191" spans="1:27" ht="18.75" customHeight="1">
      <c r="A191" s="35" t="s">
        <v>45</v>
      </c>
      <c r="B191" s="36" t="s">
        <v>46</v>
      </c>
      <c r="C191" s="37">
        <f>+D191+H191</f>
        <v>405</v>
      </c>
      <c r="D191" s="37">
        <f>SUM(E191:G191)</f>
        <v>0</v>
      </c>
      <c r="E191" s="37">
        <v>0</v>
      </c>
      <c r="F191" s="37">
        <v>0</v>
      </c>
      <c r="G191" s="37">
        <v>0</v>
      </c>
      <c r="H191" s="37">
        <f>SUM(I191:L191)</f>
        <v>405</v>
      </c>
      <c r="I191" s="37">
        <v>0</v>
      </c>
      <c r="J191" s="37">
        <v>0</v>
      </c>
      <c r="K191" s="37">
        <v>0</v>
      </c>
      <c r="L191" s="37">
        <v>405</v>
      </c>
      <c r="M191" s="37">
        <f>SUM(N191:Q191)</f>
        <v>0</v>
      </c>
      <c r="N191" s="37">
        <v>0</v>
      </c>
      <c r="O191" s="37">
        <v>0</v>
      </c>
      <c r="P191" s="37">
        <v>0</v>
      </c>
      <c r="Q191" s="37">
        <v>0</v>
      </c>
      <c r="R191" s="37">
        <f>SUM(S191:V191)</f>
        <v>405</v>
      </c>
      <c r="S191" s="37">
        <f>(E191+I191)-N191</f>
        <v>0</v>
      </c>
      <c r="T191" s="37">
        <f>(F191+J191)-O191</f>
        <v>0</v>
      </c>
      <c r="U191" s="37">
        <f>(G191+K191)-P191</f>
        <v>0</v>
      </c>
      <c r="V191" s="37">
        <f>L191-Q191</f>
        <v>405</v>
      </c>
      <c r="W191" s="38">
        <f t="shared" ref="W191:W206" si="117">M191/C191</f>
        <v>0</v>
      </c>
      <c r="X191" s="38"/>
      <c r="Y191" s="38"/>
      <c r="Z191" s="38"/>
      <c r="AA191" s="38">
        <f>Q191/L191</f>
        <v>0</v>
      </c>
    </row>
    <row r="192" spans="1:27" ht="15.75" customHeight="1">
      <c r="A192" s="35" t="s">
        <v>45</v>
      </c>
      <c r="B192" s="36" t="s">
        <v>47</v>
      </c>
      <c r="C192" s="37">
        <f t="shared" ref="C192:V192" si="118">SUM(C193:C207)</f>
        <v>1157</v>
      </c>
      <c r="D192" s="37">
        <f t="shared" si="118"/>
        <v>0</v>
      </c>
      <c r="E192" s="37">
        <f t="shared" si="118"/>
        <v>0</v>
      </c>
      <c r="F192" s="37">
        <f t="shared" si="118"/>
        <v>0</v>
      </c>
      <c r="G192" s="37">
        <f t="shared" si="118"/>
        <v>0</v>
      </c>
      <c r="H192" s="37">
        <f t="shared" si="118"/>
        <v>1157</v>
      </c>
      <c r="I192" s="37">
        <f t="shared" si="118"/>
        <v>1157</v>
      </c>
      <c r="J192" s="37">
        <f t="shared" si="118"/>
        <v>0</v>
      </c>
      <c r="K192" s="37">
        <f t="shared" si="118"/>
        <v>0</v>
      </c>
      <c r="L192" s="37">
        <f t="shared" si="118"/>
        <v>0</v>
      </c>
      <c r="M192" s="37">
        <f t="shared" si="118"/>
        <v>0</v>
      </c>
      <c r="N192" s="37">
        <f t="shared" si="118"/>
        <v>0</v>
      </c>
      <c r="O192" s="37">
        <f t="shared" si="118"/>
        <v>0</v>
      </c>
      <c r="P192" s="37">
        <f t="shared" si="118"/>
        <v>0</v>
      </c>
      <c r="Q192" s="37">
        <f t="shared" si="118"/>
        <v>0</v>
      </c>
      <c r="R192" s="37">
        <f t="shared" si="118"/>
        <v>1157</v>
      </c>
      <c r="S192" s="37">
        <f t="shared" si="118"/>
        <v>1157</v>
      </c>
      <c r="T192" s="37">
        <f t="shared" si="118"/>
        <v>0</v>
      </c>
      <c r="U192" s="37">
        <f t="shared" si="118"/>
        <v>0</v>
      </c>
      <c r="V192" s="37">
        <f t="shared" si="118"/>
        <v>0</v>
      </c>
      <c r="W192" s="38">
        <f t="shared" si="117"/>
        <v>0</v>
      </c>
      <c r="X192" s="38">
        <f t="shared" ref="X192:X206" si="119">N192/(E192+I192)</f>
        <v>0</v>
      </c>
      <c r="Y192" s="38"/>
      <c r="Z192" s="38"/>
      <c r="AA192" s="38"/>
    </row>
    <row r="193" spans="1:27" ht="15.75" hidden="1" customHeight="1">
      <c r="A193" s="35" t="s">
        <v>48</v>
      </c>
      <c r="B193" s="36" t="s">
        <v>49</v>
      </c>
      <c r="C193" s="37">
        <f t="shared" ref="C193:C207" si="120">+D193+H193</f>
        <v>160</v>
      </c>
      <c r="D193" s="37">
        <f t="shared" ref="D193:D207" si="121">SUM(E193:G193)</f>
        <v>0</v>
      </c>
      <c r="E193" s="37">
        <v>0</v>
      </c>
      <c r="F193" s="37">
        <v>0</v>
      </c>
      <c r="G193" s="37">
        <v>0</v>
      </c>
      <c r="H193" s="37">
        <f t="shared" ref="H193:H207" si="122">SUM(I193:L193)</f>
        <v>160</v>
      </c>
      <c r="I193" s="37">
        <v>160</v>
      </c>
      <c r="J193" s="37">
        <v>0</v>
      </c>
      <c r="K193" s="37">
        <v>0</v>
      </c>
      <c r="L193" s="37">
        <v>0</v>
      </c>
      <c r="M193" s="37">
        <f t="shared" ref="M193:M207" si="123">SUM(N193:Q193)</f>
        <v>0</v>
      </c>
      <c r="N193" s="37">
        <v>0</v>
      </c>
      <c r="O193" s="37">
        <v>0</v>
      </c>
      <c r="P193" s="37">
        <v>0</v>
      </c>
      <c r="Q193" s="37">
        <v>0</v>
      </c>
      <c r="R193" s="37">
        <f t="shared" ref="R193:R207" si="124">SUM(S193:V193)</f>
        <v>160</v>
      </c>
      <c r="S193" s="37">
        <f t="shared" ref="S193:U207" si="125">(E193+I193)-N193</f>
        <v>160</v>
      </c>
      <c r="T193" s="37">
        <f t="shared" si="125"/>
        <v>0</v>
      </c>
      <c r="U193" s="37">
        <f t="shared" si="125"/>
        <v>0</v>
      </c>
      <c r="V193" s="37">
        <f t="shared" ref="V193:V207" si="126">L193-Q193</f>
        <v>0</v>
      </c>
      <c r="W193" s="38">
        <f t="shared" si="117"/>
        <v>0</v>
      </c>
      <c r="X193" s="38">
        <f t="shared" si="119"/>
        <v>0</v>
      </c>
      <c r="Y193" s="38"/>
      <c r="Z193" s="38"/>
      <c r="AA193" s="38"/>
    </row>
    <row r="194" spans="1:27" ht="15.75" hidden="1" customHeight="1">
      <c r="A194" s="35" t="s">
        <v>48</v>
      </c>
      <c r="B194" s="36" t="s">
        <v>50</v>
      </c>
      <c r="C194" s="37">
        <f t="shared" si="120"/>
        <v>90</v>
      </c>
      <c r="D194" s="37">
        <f t="shared" si="121"/>
        <v>0</v>
      </c>
      <c r="E194" s="37">
        <v>0</v>
      </c>
      <c r="F194" s="37">
        <v>0</v>
      </c>
      <c r="G194" s="37">
        <v>0</v>
      </c>
      <c r="H194" s="37">
        <f t="shared" si="122"/>
        <v>90</v>
      </c>
      <c r="I194" s="37">
        <v>90</v>
      </c>
      <c r="J194" s="37">
        <v>0</v>
      </c>
      <c r="K194" s="37">
        <v>0</v>
      </c>
      <c r="L194" s="37">
        <v>0</v>
      </c>
      <c r="M194" s="37">
        <f t="shared" si="123"/>
        <v>0</v>
      </c>
      <c r="N194" s="37">
        <v>0</v>
      </c>
      <c r="O194" s="37">
        <v>0</v>
      </c>
      <c r="P194" s="37">
        <v>0</v>
      </c>
      <c r="Q194" s="37">
        <v>0</v>
      </c>
      <c r="R194" s="37">
        <f t="shared" si="124"/>
        <v>90</v>
      </c>
      <c r="S194" s="37">
        <f t="shared" si="125"/>
        <v>90</v>
      </c>
      <c r="T194" s="37">
        <f t="shared" si="125"/>
        <v>0</v>
      </c>
      <c r="U194" s="37">
        <f t="shared" si="125"/>
        <v>0</v>
      </c>
      <c r="V194" s="37">
        <f t="shared" si="126"/>
        <v>0</v>
      </c>
      <c r="W194" s="38">
        <f t="shared" si="117"/>
        <v>0</v>
      </c>
      <c r="X194" s="38">
        <f t="shared" si="119"/>
        <v>0</v>
      </c>
      <c r="Y194" s="38"/>
      <c r="Z194" s="38"/>
      <c r="AA194" s="38"/>
    </row>
    <row r="195" spans="1:27" ht="15.75" hidden="1" customHeight="1">
      <c r="A195" s="35" t="s">
        <v>48</v>
      </c>
      <c r="B195" s="36" t="s">
        <v>51</v>
      </c>
      <c r="C195" s="37">
        <f t="shared" si="120"/>
        <v>15</v>
      </c>
      <c r="D195" s="37">
        <f t="shared" si="121"/>
        <v>0</v>
      </c>
      <c r="E195" s="37">
        <v>0</v>
      </c>
      <c r="F195" s="37">
        <v>0</v>
      </c>
      <c r="G195" s="37">
        <v>0</v>
      </c>
      <c r="H195" s="37">
        <f t="shared" si="122"/>
        <v>15</v>
      </c>
      <c r="I195" s="37">
        <v>15</v>
      </c>
      <c r="J195" s="37">
        <v>0</v>
      </c>
      <c r="K195" s="37">
        <v>0</v>
      </c>
      <c r="L195" s="37">
        <v>0</v>
      </c>
      <c r="M195" s="37">
        <f t="shared" si="123"/>
        <v>0</v>
      </c>
      <c r="N195" s="37">
        <v>0</v>
      </c>
      <c r="O195" s="37">
        <v>0</v>
      </c>
      <c r="P195" s="37">
        <v>0</v>
      </c>
      <c r="Q195" s="37">
        <v>0</v>
      </c>
      <c r="R195" s="37">
        <f t="shared" si="124"/>
        <v>15</v>
      </c>
      <c r="S195" s="37">
        <f t="shared" si="125"/>
        <v>15</v>
      </c>
      <c r="T195" s="37">
        <f t="shared" si="125"/>
        <v>0</v>
      </c>
      <c r="U195" s="37">
        <f t="shared" si="125"/>
        <v>0</v>
      </c>
      <c r="V195" s="37">
        <f t="shared" si="126"/>
        <v>0</v>
      </c>
      <c r="W195" s="38">
        <f t="shared" si="117"/>
        <v>0</v>
      </c>
      <c r="X195" s="38">
        <f t="shared" si="119"/>
        <v>0</v>
      </c>
      <c r="Y195" s="38"/>
      <c r="Z195" s="38"/>
      <c r="AA195" s="38"/>
    </row>
    <row r="196" spans="1:27" ht="24" hidden="1" customHeight="1">
      <c r="A196" s="35" t="s">
        <v>48</v>
      </c>
      <c r="B196" s="36" t="s">
        <v>52</v>
      </c>
      <c r="C196" s="37">
        <f t="shared" si="120"/>
        <v>15</v>
      </c>
      <c r="D196" s="37">
        <f t="shared" si="121"/>
        <v>0</v>
      </c>
      <c r="E196" s="37">
        <v>0</v>
      </c>
      <c r="F196" s="37">
        <v>0</v>
      </c>
      <c r="G196" s="37">
        <v>0</v>
      </c>
      <c r="H196" s="37">
        <f t="shared" si="122"/>
        <v>15</v>
      </c>
      <c r="I196" s="37">
        <v>15</v>
      </c>
      <c r="J196" s="37">
        <v>0</v>
      </c>
      <c r="K196" s="37">
        <v>0</v>
      </c>
      <c r="L196" s="37">
        <v>0</v>
      </c>
      <c r="M196" s="37">
        <f t="shared" si="123"/>
        <v>0</v>
      </c>
      <c r="N196" s="37">
        <v>0</v>
      </c>
      <c r="O196" s="37">
        <v>0</v>
      </c>
      <c r="P196" s="37">
        <v>0</v>
      </c>
      <c r="Q196" s="37">
        <v>0</v>
      </c>
      <c r="R196" s="37">
        <f t="shared" si="124"/>
        <v>15</v>
      </c>
      <c r="S196" s="37">
        <f t="shared" si="125"/>
        <v>15</v>
      </c>
      <c r="T196" s="37">
        <f t="shared" si="125"/>
        <v>0</v>
      </c>
      <c r="U196" s="37">
        <f t="shared" si="125"/>
        <v>0</v>
      </c>
      <c r="V196" s="37">
        <f t="shared" si="126"/>
        <v>0</v>
      </c>
      <c r="W196" s="38">
        <f t="shared" si="117"/>
        <v>0</v>
      </c>
      <c r="X196" s="38">
        <f t="shared" si="119"/>
        <v>0</v>
      </c>
      <c r="Y196" s="38"/>
      <c r="Z196" s="38"/>
      <c r="AA196" s="38"/>
    </row>
    <row r="197" spans="1:27" ht="25.5" hidden="1" customHeight="1">
      <c r="A197" s="35" t="s">
        <v>48</v>
      </c>
      <c r="B197" s="36" t="s">
        <v>53</v>
      </c>
      <c r="C197" s="37">
        <f t="shared" si="120"/>
        <v>200</v>
      </c>
      <c r="D197" s="37">
        <f t="shared" si="121"/>
        <v>0</v>
      </c>
      <c r="E197" s="37">
        <v>0</v>
      </c>
      <c r="F197" s="37">
        <v>0</v>
      </c>
      <c r="G197" s="37">
        <v>0</v>
      </c>
      <c r="H197" s="37">
        <f t="shared" si="122"/>
        <v>200</v>
      </c>
      <c r="I197" s="37">
        <v>200</v>
      </c>
      <c r="J197" s="37">
        <v>0</v>
      </c>
      <c r="K197" s="37">
        <v>0</v>
      </c>
      <c r="L197" s="37">
        <v>0</v>
      </c>
      <c r="M197" s="37">
        <f t="shared" si="123"/>
        <v>0</v>
      </c>
      <c r="N197" s="37">
        <v>0</v>
      </c>
      <c r="O197" s="37">
        <v>0</v>
      </c>
      <c r="P197" s="37">
        <v>0</v>
      </c>
      <c r="Q197" s="37">
        <v>0</v>
      </c>
      <c r="R197" s="37">
        <f t="shared" si="124"/>
        <v>200</v>
      </c>
      <c r="S197" s="37">
        <f t="shared" si="125"/>
        <v>200</v>
      </c>
      <c r="T197" s="37">
        <f t="shared" si="125"/>
        <v>0</v>
      </c>
      <c r="U197" s="37">
        <f t="shared" si="125"/>
        <v>0</v>
      </c>
      <c r="V197" s="37">
        <f t="shared" si="126"/>
        <v>0</v>
      </c>
      <c r="W197" s="38">
        <f t="shared" si="117"/>
        <v>0</v>
      </c>
      <c r="X197" s="38">
        <f t="shared" si="119"/>
        <v>0</v>
      </c>
      <c r="Y197" s="38"/>
      <c r="Z197" s="38"/>
      <c r="AA197" s="38"/>
    </row>
    <row r="198" spans="1:27" ht="26.25" hidden="1" customHeight="1">
      <c r="A198" s="35" t="s">
        <v>48</v>
      </c>
      <c r="B198" s="36" t="s">
        <v>54</v>
      </c>
      <c r="C198" s="37">
        <f t="shared" si="120"/>
        <v>0</v>
      </c>
      <c r="D198" s="37">
        <f t="shared" si="121"/>
        <v>0</v>
      </c>
      <c r="E198" s="37">
        <v>0</v>
      </c>
      <c r="F198" s="37">
        <v>0</v>
      </c>
      <c r="G198" s="37">
        <v>0</v>
      </c>
      <c r="H198" s="37">
        <f t="shared" si="122"/>
        <v>0</v>
      </c>
      <c r="I198" s="37">
        <v>0</v>
      </c>
      <c r="J198" s="37">
        <v>0</v>
      </c>
      <c r="K198" s="37">
        <v>0</v>
      </c>
      <c r="L198" s="37">
        <v>0</v>
      </c>
      <c r="M198" s="37">
        <f t="shared" si="123"/>
        <v>0</v>
      </c>
      <c r="N198" s="37">
        <v>0</v>
      </c>
      <c r="O198" s="37">
        <v>0</v>
      </c>
      <c r="P198" s="37">
        <v>0</v>
      </c>
      <c r="Q198" s="37">
        <v>0</v>
      </c>
      <c r="R198" s="37">
        <f t="shared" si="124"/>
        <v>0</v>
      </c>
      <c r="S198" s="37">
        <f t="shared" si="125"/>
        <v>0</v>
      </c>
      <c r="T198" s="37">
        <f t="shared" si="125"/>
        <v>0</v>
      </c>
      <c r="U198" s="37">
        <f t="shared" si="125"/>
        <v>0</v>
      </c>
      <c r="V198" s="37">
        <f t="shared" si="126"/>
        <v>0</v>
      </c>
      <c r="W198" s="38"/>
      <c r="X198" s="38"/>
      <c r="Y198" s="38"/>
      <c r="Z198" s="38"/>
      <c r="AA198" s="38"/>
    </row>
    <row r="199" spans="1:27" ht="20.25" hidden="1" customHeight="1">
      <c r="A199" s="35" t="s">
        <v>48</v>
      </c>
      <c r="B199" s="36" t="s">
        <v>55</v>
      </c>
      <c r="C199" s="37">
        <f t="shared" si="120"/>
        <v>20</v>
      </c>
      <c r="D199" s="37">
        <f t="shared" si="121"/>
        <v>0</v>
      </c>
      <c r="E199" s="37">
        <v>0</v>
      </c>
      <c r="F199" s="37">
        <v>0</v>
      </c>
      <c r="G199" s="37">
        <v>0</v>
      </c>
      <c r="H199" s="37">
        <f t="shared" si="122"/>
        <v>20</v>
      </c>
      <c r="I199" s="37">
        <v>20</v>
      </c>
      <c r="J199" s="37">
        <v>0</v>
      </c>
      <c r="K199" s="37">
        <v>0</v>
      </c>
      <c r="L199" s="37">
        <v>0</v>
      </c>
      <c r="M199" s="37">
        <f t="shared" si="123"/>
        <v>0</v>
      </c>
      <c r="N199" s="37">
        <v>0</v>
      </c>
      <c r="O199" s="37">
        <v>0</v>
      </c>
      <c r="P199" s="37">
        <v>0</v>
      </c>
      <c r="Q199" s="37">
        <v>0</v>
      </c>
      <c r="R199" s="37">
        <f t="shared" si="124"/>
        <v>20</v>
      </c>
      <c r="S199" s="37">
        <f t="shared" si="125"/>
        <v>20</v>
      </c>
      <c r="T199" s="37">
        <f t="shared" si="125"/>
        <v>0</v>
      </c>
      <c r="U199" s="37">
        <f t="shared" si="125"/>
        <v>0</v>
      </c>
      <c r="V199" s="37">
        <f t="shared" si="126"/>
        <v>0</v>
      </c>
      <c r="W199" s="38">
        <f t="shared" si="117"/>
        <v>0</v>
      </c>
      <c r="X199" s="38">
        <f t="shared" si="119"/>
        <v>0</v>
      </c>
      <c r="Y199" s="38"/>
      <c r="Z199" s="38"/>
      <c r="AA199" s="38"/>
    </row>
    <row r="200" spans="1:27" ht="15.75" hidden="1" customHeight="1">
      <c r="A200" s="35" t="s">
        <v>48</v>
      </c>
      <c r="B200" s="36" t="s">
        <v>56</v>
      </c>
      <c r="C200" s="37">
        <f t="shared" si="120"/>
        <v>60</v>
      </c>
      <c r="D200" s="37">
        <f t="shared" si="121"/>
        <v>0</v>
      </c>
      <c r="E200" s="37">
        <v>0</v>
      </c>
      <c r="F200" s="37">
        <v>0</v>
      </c>
      <c r="G200" s="37">
        <v>0</v>
      </c>
      <c r="H200" s="37">
        <f t="shared" si="122"/>
        <v>60</v>
      </c>
      <c r="I200" s="37">
        <v>60</v>
      </c>
      <c r="J200" s="37">
        <v>0</v>
      </c>
      <c r="K200" s="37">
        <v>0</v>
      </c>
      <c r="L200" s="37">
        <v>0</v>
      </c>
      <c r="M200" s="37">
        <f t="shared" si="123"/>
        <v>0</v>
      </c>
      <c r="N200" s="37">
        <v>0</v>
      </c>
      <c r="O200" s="37">
        <v>0</v>
      </c>
      <c r="P200" s="37">
        <v>0</v>
      </c>
      <c r="Q200" s="37">
        <v>0</v>
      </c>
      <c r="R200" s="37">
        <f t="shared" si="124"/>
        <v>60</v>
      </c>
      <c r="S200" s="37">
        <f t="shared" si="125"/>
        <v>60</v>
      </c>
      <c r="T200" s="37">
        <f t="shared" si="125"/>
        <v>0</v>
      </c>
      <c r="U200" s="37">
        <f t="shared" si="125"/>
        <v>0</v>
      </c>
      <c r="V200" s="37">
        <f t="shared" si="126"/>
        <v>0</v>
      </c>
      <c r="W200" s="38">
        <f t="shared" si="117"/>
        <v>0</v>
      </c>
      <c r="X200" s="38">
        <f t="shared" si="119"/>
        <v>0</v>
      </c>
      <c r="Y200" s="38"/>
      <c r="Z200" s="38"/>
      <c r="AA200" s="38"/>
    </row>
    <row r="201" spans="1:27" ht="15.75" hidden="1" customHeight="1">
      <c r="A201" s="35" t="s">
        <v>48</v>
      </c>
      <c r="B201" s="36" t="s">
        <v>57</v>
      </c>
      <c r="C201" s="37">
        <f t="shared" si="120"/>
        <v>138</v>
      </c>
      <c r="D201" s="37">
        <f t="shared" si="121"/>
        <v>0</v>
      </c>
      <c r="E201" s="37">
        <v>0</v>
      </c>
      <c r="F201" s="37">
        <v>0</v>
      </c>
      <c r="G201" s="37">
        <v>0</v>
      </c>
      <c r="H201" s="37">
        <f t="shared" si="122"/>
        <v>138</v>
      </c>
      <c r="I201" s="37">
        <v>138</v>
      </c>
      <c r="J201" s="37">
        <v>0</v>
      </c>
      <c r="K201" s="37">
        <v>0</v>
      </c>
      <c r="L201" s="37">
        <v>0</v>
      </c>
      <c r="M201" s="37">
        <f t="shared" si="123"/>
        <v>0</v>
      </c>
      <c r="N201" s="37">
        <v>0</v>
      </c>
      <c r="O201" s="37">
        <v>0</v>
      </c>
      <c r="P201" s="37">
        <v>0</v>
      </c>
      <c r="Q201" s="37">
        <v>0</v>
      </c>
      <c r="R201" s="37">
        <f t="shared" si="124"/>
        <v>138</v>
      </c>
      <c r="S201" s="37">
        <f t="shared" si="125"/>
        <v>138</v>
      </c>
      <c r="T201" s="37">
        <f t="shared" si="125"/>
        <v>0</v>
      </c>
      <c r="U201" s="37">
        <f t="shared" si="125"/>
        <v>0</v>
      </c>
      <c r="V201" s="37">
        <f t="shared" si="126"/>
        <v>0</v>
      </c>
      <c r="W201" s="38">
        <f t="shared" si="117"/>
        <v>0</v>
      </c>
      <c r="X201" s="38">
        <f t="shared" si="119"/>
        <v>0</v>
      </c>
      <c r="Y201" s="38"/>
      <c r="Z201" s="38"/>
      <c r="AA201" s="38"/>
    </row>
    <row r="202" spans="1:27" ht="15.75" hidden="1" customHeight="1">
      <c r="A202" s="35" t="s">
        <v>48</v>
      </c>
      <c r="B202" s="36" t="s">
        <v>58</v>
      </c>
      <c r="C202" s="37">
        <f t="shared" si="120"/>
        <v>300</v>
      </c>
      <c r="D202" s="37">
        <f t="shared" si="121"/>
        <v>0</v>
      </c>
      <c r="E202" s="37">
        <v>0</v>
      </c>
      <c r="F202" s="37">
        <v>0</v>
      </c>
      <c r="G202" s="37">
        <v>0</v>
      </c>
      <c r="H202" s="37">
        <f t="shared" si="122"/>
        <v>300</v>
      </c>
      <c r="I202" s="37">
        <v>300</v>
      </c>
      <c r="J202" s="37">
        <v>0</v>
      </c>
      <c r="K202" s="37">
        <v>0</v>
      </c>
      <c r="L202" s="37">
        <v>0</v>
      </c>
      <c r="M202" s="37">
        <f t="shared" si="123"/>
        <v>0</v>
      </c>
      <c r="N202" s="37">
        <v>0</v>
      </c>
      <c r="O202" s="37">
        <v>0</v>
      </c>
      <c r="P202" s="37">
        <v>0</v>
      </c>
      <c r="Q202" s="37">
        <v>0</v>
      </c>
      <c r="R202" s="37">
        <f t="shared" si="124"/>
        <v>300</v>
      </c>
      <c r="S202" s="37">
        <f t="shared" si="125"/>
        <v>300</v>
      </c>
      <c r="T202" s="37">
        <f t="shared" si="125"/>
        <v>0</v>
      </c>
      <c r="U202" s="37">
        <f t="shared" si="125"/>
        <v>0</v>
      </c>
      <c r="V202" s="37">
        <f t="shared" si="126"/>
        <v>0</v>
      </c>
      <c r="W202" s="38">
        <f t="shared" si="117"/>
        <v>0</v>
      </c>
      <c r="X202" s="38">
        <f t="shared" si="119"/>
        <v>0</v>
      </c>
      <c r="Y202" s="38"/>
      <c r="Z202" s="38"/>
      <c r="AA202" s="38"/>
    </row>
    <row r="203" spans="1:27" ht="15.75" hidden="1" customHeight="1">
      <c r="A203" s="35" t="s">
        <v>48</v>
      </c>
      <c r="B203" s="36" t="s">
        <v>59</v>
      </c>
      <c r="C203" s="37">
        <f t="shared" si="120"/>
        <v>0</v>
      </c>
      <c r="D203" s="37">
        <f t="shared" si="121"/>
        <v>0</v>
      </c>
      <c r="E203" s="37">
        <v>0</v>
      </c>
      <c r="F203" s="37">
        <v>0</v>
      </c>
      <c r="G203" s="37">
        <v>0</v>
      </c>
      <c r="H203" s="37">
        <f t="shared" si="122"/>
        <v>0</v>
      </c>
      <c r="I203" s="37">
        <v>0</v>
      </c>
      <c r="J203" s="37">
        <v>0</v>
      </c>
      <c r="K203" s="37">
        <v>0</v>
      </c>
      <c r="L203" s="37">
        <v>0</v>
      </c>
      <c r="M203" s="37">
        <f t="shared" si="123"/>
        <v>0</v>
      </c>
      <c r="N203" s="37">
        <v>0</v>
      </c>
      <c r="O203" s="37">
        <v>0</v>
      </c>
      <c r="P203" s="37">
        <v>0</v>
      </c>
      <c r="Q203" s="37">
        <v>0</v>
      </c>
      <c r="R203" s="37">
        <f t="shared" si="124"/>
        <v>0</v>
      </c>
      <c r="S203" s="37">
        <f t="shared" si="125"/>
        <v>0</v>
      </c>
      <c r="T203" s="37">
        <f t="shared" si="125"/>
        <v>0</v>
      </c>
      <c r="U203" s="37">
        <f t="shared" si="125"/>
        <v>0</v>
      </c>
      <c r="V203" s="37">
        <f t="shared" si="126"/>
        <v>0</v>
      </c>
      <c r="W203" s="38"/>
      <c r="X203" s="38"/>
      <c r="Y203" s="38"/>
      <c r="Z203" s="38"/>
      <c r="AA203" s="38"/>
    </row>
    <row r="204" spans="1:27" ht="15.75" hidden="1" customHeight="1">
      <c r="A204" s="35" t="s">
        <v>48</v>
      </c>
      <c r="B204" s="36" t="s">
        <v>60</v>
      </c>
      <c r="C204" s="37">
        <f t="shared" si="120"/>
        <v>0</v>
      </c>
      <c r="D204" s="37">
        <f t="shared" si="121"/>
        <v>0</v>
      </c>
      <c r="E204" s="37">
        <v>0</v>
      </c>
      <c r="F204" s="37">
        <v>0</v>
      </c>
      <c r="G204" s="37">
        <v>0</v>
      </c>
      <c r="H204" s="37">
        <f t="shared" si="122"/>
        <v>0</v>
      </c>
      <c r="I204" s="37">
        <v>0</v>
      </c>
      <c r="J204" s="37">
        <v>0</v>
      </c>
      <c r="K204" s="37">
        <v>0</v>
      </c>
      <c r="L204" s="37">
        <v>0</v>
      </c>
      <c r="M204" s="37">
        <f t="shared" si="123"/>
        <v>0</v>
      </c>
      <c r="N204" s="37">
        <v>0</v>
      </c>
      <c r="O204" s="37">
        <v>0</v>
      </c>
      <c r="P204" s="37">
        <v>0</v>
      </c>
      <c r="Q204" s="37">
        <v>0</v>
      </c>
      <c r="R204" s="37">
        <f t="shared" si="124"/>
        <v>0</v>
      </c>
      <c r="S204" s="37">
        <f t="shared" si="125"/>
        <v>0</v>
      </c>
      <c r="T204" s="37">
        <f t="shared" si="125"/>
        <v>0</v>
      </c>
      <c r="U204" s="37">
        <f t="shared" si="125"/>
        <v>0</v>
      </c>
      <c r="V204" s="37">
        <f t="shared" si="126"/>
        <v>0</v>
      </c>
      <c r="W204" s="38"/>
      <c r="X204" s="38"/>
      <c r="Y204" s="38"/>
      <c r="Z204" s="38"/>
      <c r="AA204" s="38"/>
    </row>
    <row r="205" spans="1:27" ht="21" hidden="1">
      <c r="A205" s="35" t="s">
        <v>48</v>
      </c>
      <c r="B205" s="36" t="s">
        <v>61</v>
      </c>
      <c r="C205" s="37">
        <f t="shared" si="120"/>
        <v>21</v>
      </c>
      <c r="D205" s="37">
        <f t="shared" si="121"/>
        <v>0</v>
      </c>
      <c r="E205" s="37">
        <v>0</v>
      </c>
      <c r="F205" s="37">
        <v>0</v>
      </c>
      <c r="G205" s="37">
        <v>0</v>
      </c>
      <c r="H205" s="37">
        <f t="shared" si="122"/>
        <v>21</v>
      </c>
      <c r="I205" s="37">
        <v>21</v>
      </c>
      <c r="J205" s="37">
        <v>0</v>
      </c>
      <c r="K205" s="37">
        <v>0</v>
      </c>
      <c r="L205" s="37">
        <v>0</v>
      </c>
      <c r="M205" s="37">
        <f t="shared" si="123"/>
        <v>0</v>
      </c>
      <c r="N205" s="37">
        <v>0</v>
      </c>
      <c r="O205" s="37">
        <v>0</v>
      </c>
      <c r="P205" s="37">
        <v>0</v>
      </c>
      <c r="Q205" s="37">
        <v>0</v>
      </c>
      <c r="R205" s="37">
        <f t="shared" si="124"/>
        <v>21</v>
      </c>
      <c r="S205" s="37">
        <f t="shared" si="125"/>
        <v>21</v>
      </c>
      <c r="T205" s="37">
        <f t="shared" si="125"/>
        <v>0</v>
      </c>
      <c r="U205" s="37">
        <f t="shared" si="125"/>
        <v>0</v>
      </c>
      <c r="V205" s="37">
        <f t="shared" si="126"/>
        <v>0</v>
      </c>
      <c r="W205" s="38">
        <f t="shared" si="117"/>
        <v>0</v>
      </c>
      <c r="X205" s="38">
        <f t="shared" si="119"/>
        <v>0</v>
      </c>
      <c r="Y205" s="38"/>
      <c r="Z205" s="38"/>
      <c r="AA205" s="38"/>
    </row>
    <row r="206" spans="1:27" ht="18.75" hidden="1" customHeight="1">
      <c r="A206" s="35" t="s">
        <v>48</v>
      </c>
      <c r="B206" s="36" t="s">
        <v>62</v>
      </c>
      <c r="C206" s="37">
        <f t="shared" si="120"/>
        <v>138</v>
      </c>
      <c r="D206" s="37">
        <f t="shared" si="121"/>
        <v>0</v>
      </c>
      <c r="E206" s="37">
        <v>0</v>
      </c>
      <c r="F206" s="37">
        <v>0</v>
      </c>
      <c r="G206" s="37">
        <v>0</v>
      </c>
      <c r="H206" s="37">
        <f t="shared" si="122"/>
        <v>138</v>
      </c>
      <c r="I206" s="37">
        <v>138</v>
      </c>
      <c r="J206" s="37">
        <v>0</v>
      </c>
      <c r="K206" s="37">
        <v>0</v>
      </c>
      <c r="L206" s="37">
        <v>0</v>
      </c>
      <c r="M206" s="37">
        <f t="shared" si="123"/>
        <v>0</v>
      </c>
      <c r="N206" s="37">
        <v>0</v>
      </c>
      <c r="O206" s="37">
        <v>0</v>
      </c>
      <c r="P206" s="37">
        <v>0</v>
      </c>
      <c r="Q206" s="37">
        <v>0</v>
      </c>
      <c r="R206" s="37">
        <f t="shared" si="124"/>
        <v>138</v>
      </c>
      <c r="S206" s="37">
        <f t="shared" si="125"/>
        <v>138</v>
      </c>
      <c r="T206" s="37">
        <f t="shared" si="125"/>
        <v>0</v>
      </c>
      <c r="U206" s="37">
        <f t="shared" si="125"/>
        <v>0</v>
      </c>
      <c r="V206" s="37">
        <f t="shared" si="126"/>
        <v>0</v>
      </c>
      <c r="W206" s="38">
        <f t="shared" si="117"/>
        <v>0</v>
      </c>
      <c r="X206" s="38">
        <f t="shared" si="119"/>
        <v>0</v>
      </c>
      <c r="Y206" s="38"/>
      <c r="Z206" s="38"/>
      <c r="AA206" s="38"/>
    </row>
    <row r="207" spans="1:27" ht="22.5" hidden="1" customHeight="1">
      <c r="A207" s="35" t="s">
        <v>48</v>
      </c>
      <c r="B207" s="36" t="s">
        <v>63</v>
      </c>
      <c r="C207" s="37">
        <f t="shared" si="120"/>
        <v>0</v>
      </c>
      <c r="D207" s="37">
        <f t="shared" si="121"/>
        <v>0</v>
      </c>
      <c r="E207" s="37">
        <v>0</v>
      </c>
      <c r="F207" s="37">
        <v>0</v>
      </c>
      <c r="G207" s="37">
        <v>0</v>
      </c>
      <c r="H207" s="37">
        <f t="shared" si="122"/>
        <v>0</v>
      </c>
      <c r="I207" s="37">
        <v>0</v>
      </c>
      <c r="J207" s="37">
        <v>0</v>
      </c>
      <c r="K207" s="37">
        <v>0</v>
      </c>
      <c r="L207" s="37">
        <v>0</v>
      </c>
      <c r="M207" s="37">
        <f t="shared" si="123"/>
        <v>0</v>
      </c>
      <c r="N207" s="37">
        <v>0</v>
      </c>
      <c r="O207" s="37">
        <v>0</v>
      </c>
      <c r="P207" s="37">
        <v>0</v>
      </c>
      <c r="Q207" s="37">
        <v>0</v>
      </c>
      <c r="R207" s="37">
        <f t="shared" si="124"/>
        <v>0</v>
      </c>
      <c r="S207" s="37">
        <f t="shared" si="125"/>
        <v>0</v>
      </c>
      <c r="T207" s="37">
        <f t="shared" si="125"/>
        <v>0</v>
      </c>
      <c r="U207" s="37">
        <f t="shared" si="125"/>
        <v>0</v>
      </c>
      <c r="V207" s="37">
        <f t="shared" si="126"/>
        <v>0</v>
      </c>
      <c r="W207" s="38"/>
      <c r="X207" s="38"/>
      <c r="Y207" s="38"/>
      <c r="Z207" s="38"/>
      <c r="AA207" s="38"/>
    </row>
    <row r="208" spans="1:27" s="12" customFormat="1" ht="15.75" customHeight="1">
      <c r="A208" s="31" t="s">
        <v>82</v>
      </c>
      <c r="B208" s="32" t="s">
        <v>83</v>
      </c>
      <c r="C208" s="33">
        <f>+C209+C210</f>
        <v>20647</v>
      </c>
      <c r="D208" s="33">
        <f t="shared" ref="D208:V208" si="127">+D209+D210</f>
        <v>86</v>
      </c>
      <c r="E208" s="33">
        <f t="shared" si="127"/>
        <v>86</v>
      </c>
      <c r="F208" s="33">
        <f t="shared" si="127"/>
        <v>0</v>
      </c>
      <c r="G208" s="33">
        <f t="shared" si="127"/>
        <v>0</v>
      </c>
      <c r="H208" s="33">
        <f t="shared" si="127"/>
        <v>20561</v>
      </c>
      <c r="I208" s="33">
        <f t="shared" si="127"/>
        <v>11540</v>
      </c>
      <c r="J208" s="33">
        <f t="shared" si="127"/>
        <v>0</v>
      </c>
      <c r="K208" s="33">
        <f t="shared" si="127"/>
        <v>0</v>
      </c>
      <c r="L208" s="33">
        <f t="shared" si="127"/>
        <v>9021</v>
      </c>
      <c r="M208" s="33">
        <f t="shared" si="127"/>
        <v>2224.4540000000002</v>
      </c>
      <c r="N208" s="33">
        <f t="shared" si="127"/>
        <v>855.45400000000006</v>
      </c>
      <c r="O208" s="33">
        <f t="shared" si="127"/>
        <v>0</v>
      </c>
      <c r="P208" s="33">
        <f t="shared" si="127"/>
        <v>0</v>
      </c>
      <c r="Q208" s="33">
        <f t="shared" si="127"/>
        <v>1369</v>
      </c>
      <c r="R208" s="33">
        <f t="shared" si="127"/>
        <v>18422.546000000002</v>
      </c>
      <c r="S208" s="33">
        <f t="shared" si="127"/>
        <v>10770.546</v>
      </c>
      <c r="T208" s="33">
        <f t="shared" si="127"/>
        <v>0</v>
      </c>
      <c r="U208" s="33">
        <f t="shared" si="127"/>
        <v>0</v>
      </c>
      <c r="V208" s="33">
        <f t="shared" si="127"/>
        <v>7652</v>
      </c>
      <c r="W208" s="34">
        <f>M208/C208</f>
        <v>0.10773739526323438</v>
      </c>
      <c r="X208" s="34">
        <f>N208/(E208+I208)</f>
        <v>7.3581111302253574E-2</v>
      </c>
      <c r="Y208" s="34"/>
      <c r="Z208" s="34"/>
      <c r="AA208" s="34">
        <f>Q208/L208</f>
        <v>0.1517570114178029</v>
      </c>
    </row>
    <row r="209" spans="1:27" ht="18.75" customHeight="1">
      <c r="A209" s="35" t="s">
        <v>45</v>
      </c>
      <c r="B209" s="36" t="s">
        <v>46</v>
      </c>
      <c r="C209" s="37">
        <f>+D209+H209</f>
        <v>14347</v>
      </c>
      <c r="D209" s="37">
        <f>SUM(E209:G209)</f>
        <v>86</v>
      </c>
      <c r="E209" s="37">
        <v>86</v>
      </c>
      <c r="F209" s="37">
        <v>0</v>
      </c>
      <c r="G209" s="37">
        <v>0</v>
      </c>
      <c r="H209" s="37">
        <f>SUM(I209:L209)</f>
        <v>14261</v>
      </c>
      <c r="I209" s="37">
        <v>5240</v>
      </c>
      <c r="J209" s="37">
        <v>0</v>
      </c>
      <c r="K209" s="37">
        <v>0</v>
      </c>
      <c r="L209" s="37">
        <v>9021</v>
      </c>
      <c r="M209" s="37">
        <f>SUM(N209:Q209)</f>
        <v>1369</v>
      </c>
      <c r="N209" s="37">
        <v>0</v>
      </c>
      <c r="O209" s="37">
        <v>0</v>
      </c>
      <c r="P209" s="37">
        <v>0</v>
      </c>
      <c r="Q209" s="37">
        <v>1369</v>
      </c>
      <c r="R209" s="37">
        <f>SUM(S209:V209)</f>
        <v>12978</v>
      </c>
      <c r="S209" s="37">
        <f>(E209+I209)-N209</f>
        <v>5326</v>
      </c>
      <c r="T209" s="37">
        <f>(F209+J209)-O209</f>
        <v>0</v>
      </c>
      <c r="U209" s="37">
        <f>(G209+K209)-P209</f>
        <v>0</v>
      </c>
      <c r="V209" s="37">
        <f>L209-Q209</f>
        <v>7652</v>
      </c>
      <c r="W209" s="38">
        <f t="shared" ref="W209:W224" si="128">M209/C209</f>
        <v>9.5420645431100584E-2</v>
      </c>
      <c r="X209" s="38">
        <f t="shared" ref="X209:X224" si="129">N209/(E209+I209)</f>
        <v>0</v>
      </c>
      <c r="Y209" s="38"/>
      <c r="Z209" s="38"/>
      <c r="AA209" s="38">
        <f>Q209/L209</f>
        <v>0.1517570114178029</v>
      </c>
    </row>
    <row r="210" spans="1:27" ht="15.75" customHeight="1">
      <c r="A210" s="35" t="s">
        <v>45</v>
      </c>
      <c r="B210" s="36" t="s">
        <v>47</v>
      </c>
      <c r="C210" s="37">
        <f t="shared" ref="C210:V210" si="130">SUM(C211:C225)</f>
        <v>6300</v>
      </c>
      <c r="D210" s="37">
        <f t="shared" si="130"/>
        <v>0</v>
      </c>
      <c r="E210" s="37">
        <f t="shared" si="130"/>
        <v>0</v>
      </c>
      <c r="F210" s="37">
        <f t="shared" si="130"/>
        <v>0</v>
      </c>
      <c r="G210" s="37">
        <f t="shared" si="130"/>
        <v>0</v>
      </c>
      <c r="H210" s="37">
        <f t="shared" si="130"/>
        <v>6300</v>
      </c>
      <c r="I210" s="37">
        <f t="shared" si="130"/>
        <v>6300</v>
      </c>
      <c r="J210" s="37">
        <f t="shared" si="130"/>
        <v>0</v>
      </c>
      <c r="K210" s="37">
        <f t="shared" si="130"/>
        <v>0</v>
      </c>
      <c r="L210" s="37">
        <f t="shared" si="130"/>
        <v>0</v>
      </c>
      <c r="M210" s="37">
        <f t="shared" si="130"/>
        <v>855.45400000000006</v>
      </c>
      <c r="N210" s="37">
        <f t="shared" si="130"/>
        <v>855.45400000000006</v>
      </c>
      <c r="O210" s="37">
        <f t="shared" si="130"/>
        <v>0</v>
      </c>
      <c r="P210" s="37">
        <f t="shared" si="130"/>
        <v>0</v>
      </c>
      <c r="Q210" s="37">
        <f t="shared" si="130"/>
        <v>0</v>
      </c>
      <c r="R210" s="37">
        <f t="shared" si="130"/>
        <v>5444.5460000000003</v>
      </c>
      <c r="S210" s="37">
        <f t="shared" si="130"/>
        <v>5444.5460000000003</v>
      </c>
      <c r="T210" s="37">
        <f t="shared" si="130"/>
        <v>0</v>
      </c>
      <c r="U210" s="37">
        <f t="shared" si="130"/>
        <v>0</v>
      </c>
      <c r="V210" s="37">
        <f t="shared" si="130"/>
        <v>0</v>
      </c>
      <c r="W210" s="38">
        <f t="shared" si="128"/>
        <v>0.13578634920634922</v>
      </c>
      <c r="X210" s="38">
        <f t="shared" si="129"/>
        <v>0.13578634920634922</v>
      </c>
      <c r="Y210" s="38"/>
      <c r="Z210" s="38"/>
      <c r="AA210" s="38"/>
    </row>
    <row r="211" spans="1:27" ht="15.75" hidden="1" customHeight="1">
      <c r="A211" s="35" t="s">
        <v>48</v>
      </c>
      <c r="B211" s="36" t="s">
        <v>49</v>
      </c>
      <c r="C211" s="37">
        <f t="shared" ref="C211:C225" si="131">+D211+H211</f>
        <v>1940</v>
      </c>
      <c r="D211" s="37">
        <f t="shared" ref="D211:D225" si="132">SUM(E211:G211)</f>
        <v>0</v>
      </c>
      <c r="E211" s="37">
        <v>0</v>
      </c>
      <c r="F211" s="37">
        <v>0</v>
      </c>
      <c r="G211" s="37">
        <v>0</v>
      </c>
      <c r="H211" s="37">
        <f t="shared" ref="H211:H225" si="133">SUM(I211:L211)</f>
        <v>1940</v>
      </c>
      <c r="I211" s="37">
        <v>1940</v>
      </c>
      <c r="J211" s="37">
        <v>0</v>
      </c>
      <c r="K211" s="37">
        <v>0</v>
      </c>
      <c r="L211" s="37">
        <v>0</v>
      </c>
      <c r="M211" s="37">
        <f t="shared" ref="M211:M225" si="134">SUM(N211:Q211)</f>
        <v>855.45400000000006</v>
      </c>
      <c r="N211" s="37">
        <v>855.45400000000006</v>
      </c>
      <c r="O211" s="37">
        <v>0</v>
      </c>
      <c r="P211" s="37">
        <v>0</v>
      </c>
      <c r="Q211" s="37">
        <v>0</v>
      </c>
      <c r="R211" s="37">
        <f t="shared" ref="R211:R225" si="135">SUM(S211:V211)</f>
        <v>1084.5459999999998</v>
      </c>
      <c r="S211" s="37">
        <f t="shared" ref="S211:U225" si="136">(E211+I211)-N211</f>
        <v>1084.5459999999998</v>
      </c>
      <c r="T211" s="37">
        <f t="shared" si="136"/>
        <v>0</v>
      </c>
      <c r="U211" s="37">
        <f t="shared" si="136"/>
        <v>0</v>
      </c>
      <c r="V211" s="37">
        <f t="shared" ref="V211:V225" si="137">L211-Q211</f>
        <v>0</v>
      </c>
      <c r="W211" s="38">
        <f t="shared" si="128"/>
        <v>0.44095567010309283</v>
      </c>
      <c r="X211" s="38">
        <f t="shared" si="129"/>
        <v>0.44095567010309283</v>
      </c>
      <c r="Y211" s="38"/>
      <c r="Z211" s="38"/>
      <c r="AA211" s="38"/>
    </row>
    <row r="212" spans="1:27" ht="15.75" hidden="1" customHeight="1">
      <c r="A212" s="35" t="s">
        <v>48</v>
      </c>
      <c r="B212" s="36" t="s">
        <v>50</v>
      </c>
      <c r="C212" s="37">
        <f t="shared" si="131"/>
        <v>1590</v>
      </c>
      <c r="D212" s="37">
        <f t="shared" si="132"/>
        <v>0</v>
      </c>
      <c r="E212" s="37">
        <v>0</v>
      </c>
      <c r="F212" s="37">
        <v>0</v>
      </c>
      <c r="G212" s="37">
        <v>0</v>
      </c>
      <c r="H212" s="37">
        <f t="shared" si="133"/>
        <v>1590</v>
      </c>
      <c r="I212" s="37">
        <v>1590</v>
      </c>
      <c r="J212" s="37">
        <v>0</v>
      </c>
      <c r="K212" s="37">
        <v>0</v>
      </c>
      <c r="L212" s="37">
        <v>0</v>
      </c>
      <c r="M212" s="37">
        <f t="shared" si="134"/>
        <v>0</v>
      </c>
      <c r="N212" s="37">
        <v>0</v>
      </c>
      <c r="O212" s="37">
        <v>0</v>
      </c>
      <c r="P212" s="37">
        <v>0</v>
      </c>
      <c r="Q212" s="37">
        <v>0</v>
      </c>
      <c r="R212" s="37">
        <f t="shared" si="135"/>
        <v>1590</v>
      </c>
      <c r="S212" s="37">
        <f t="shared" si="136"/>
        <v>1590</v>
      </c>
      <c r="T212" s="37">
        <f t="shared" si="136"/>
        <v>0</v>
      </c>
      <c r="U212" s="37">
        <f t="shared" si="136"/>
        <v>0</v>
      </c>
      <c r="V212" s="37">
        <f t="shared" si="137"/>
        <v>0</v>
      </c>
      <c r="W212" s="38">
        <f t="shared" si="128"/>
        <v>0</v>
      </c>
      <c r="X212" s="38">
        <f t="shared" si="129"/>
        <v>0</v>
      </c>
      <c r="Y212" s="38"/>
      <c r="Z212" s="38"/>
      <c r="AA212" s="38"/>
    </row>
    <row r="213" spans="1:27" ht="15.75" hidden="1" customHeight="1">
      <c r="A213" s="35" t="s">
        <v>48</v>
      </c>
      <c r="B213" s="36" t="s">
        <v>51</v>
      </c>
      <c r="C213" s="37">
        <f t="shared" si="131"/>
        <v>165</v>
      </c>
      <c r="D213" s="37">
        <f t="shared" si="132"/>
        <v>0</v>
      </c>
      <c r="E213" s="37">
        <v>0</v>
      </c>
      <c r="F213" s="37">
        <v>0</v>
      </c>
      <c r="G213" s="37">
        <v>0</v>
      </c>
      <c r="H213" s="37">
        <f t="shared" si="133"/>
        <v>165</v>
      </c>
      <c r="I213" s="37">
        <v>165</v>
      </c>
      <c r="J213" s="37">
        <v>0</v>
      </c>
      <c r="K213" s="37">
        <v>0</v>
      </c>
      <c r="L213" s="37">
        <v>0</v>
      </c>
      <c r="M213" s="37">
        <f t="shared" si="134"/>
        <v>0</v>
      </c>
      <c r="N213" s="37">
        <v>0</v>
      </c>
      <c r="O213" s="37">
        <v>0</v>
      </c>
      <c r="P213" s="37">
        <v>0</v>
      </c>
      <c r="Q213" s="37">
        <v>0</v>
      </c>
      <c r="R213" s="37">
        <f t="shared" si="135"/>
        <v>165</v>
      </c>
      <c r="S213" s="37">
        <f t="shared" si="136"/>
        <v>165</v>
      </c>
      <c r="T213" s="37">
        <f t="shared" si="136"/>
        <v>0</v>
      </c>
      <c r="U213" s="37">
        <f t="shared" si="136"/>
        <v>0</v>
      </c>
      <c r="V213" s="37">
        <f t="shared" si="137"/>
        <v>0</v>
      </c>
      <c r="W213" s="38">
        <f t="shared" si="128"/>
        <v>0</v>
      </c>
      <c r="X213" s="38">
        <f t="shared" si="129"/>
        <v>0</v>
      </c>
      <c r="Y213" s="38"/>
      <c r="Z213" s="38"/>
      <c r="AA213" s="38"/>
    </row>
    <row r="214" spans="1:27" ht="24" hidden="1" customHeight="1">
      <c r="A214" s="35" t="s">
        <v>48</v>
      </c>
      <c r="B214" s="36" t="s">
        <v>52</v>
      </c>
      <c r="C214" s="37">
        <f t="shared" si="131"/>
        <v>165</v>
      </c>
      <c r="D214" s="37">
        <f t="shared" si="132"/>
        <v>0</v>
      </c>
      <c r="E214" s="37">
        <v>0</v>
      </c>
      <c r="F214" s="37">
        <v>0</v>
      </c>
      <c r="G214" s="37">
        <v>0</v>
      </c>
      <c r="H214" s="37">
        <f t="shared" si="133"/>
        <v>165</v>
      </c>
      <c r="I214" s="37">
        <v>165</v>
      </c>
      <c r="J214" s="37">
        <v>0</v>
      </c>
      <c r="K214" s="37">
        <v>0</v>
      </c>
      <c r="L214" s="37">
        <v>0</v>
      </c>
      <c r="M214" s="37">
        <f t="shared" si="134"/>
        <v>0</v>
      </c>
      <c r="N214" s="37">
        <v>0</v>
      </c>
      <c r="O214" s="37">
        <v>0</v>
      </c>
      <c r="P214" s="37">
        <v>0</v>
      </c>
      <c r="Q214" s="37">
        <v>0</v>
      </c>
      <c r="R214" s="37">
        <f t="shared" si="135"/>
        <v>165</v>
      </c>
      <c r="S214" s="37">
        <f t="shared" si="136"/>
        <v>165</v>
      </c>
      <c r="T214" s="37">
        <f t="shared" si="136"/>
        <v>0</v>
      </c>
      <c r="U214" s="37">
        <f t="shared" si="136"/>
        <v>0</v>
      </c>
      <c r="V214" s="37">
        <f t="shared" si="137"/>
        <v>0</v>
      </c>
      <c r="W214" s="38">
        <f t="shared" si="128"/>
        <v>0</v>
      </c>
      <c r="X214" s="38">
        <f t="shared" si="129"/>
        <v>0</v>
      </c>
      <c r="Y214" s="38"/>
      <c r="Z214" s="38"/>
      <c r="AA214" s="38"/>
    </row>
    <row r="215" spans="1:27" ht="25.5" hidden="1" customHeight="1">
      <c r="A215" s="35" t="s">
        <v>48</v>
      </c>
      <c r="B215" s="36" t="s">
        <v>53</v>
      </c>
      <c r="C215" s="37">
        <f t="shared" si="131"/>
        <v>200</v>
      </c>
      <c r="D215" s="37">
        <f t="shared" si="132"/>
        <v>0</v>
      </c>
      <c r="E215" s="37">
        <v>0</v>
      </c>
      <c r="F215" s="37">
        <v>0</v>
      </c>
      <c r="G215" s="37">
        <v>0</v>
      </c>
      <c r="H215" s="37">
        <f t="shared" si="133"/>
        <v>200</v>
      </c>
      <c r="I215" s="37">
        <v>200</v>
      </c>
      <c r="J215" s="37">
        <v>0</v>
      </c>
      <c r="K215" s="37">
        <v>0</v>
      </c>
      <c r="L215" s="37">
        <v>0</v>
      </c>
      <c r="M215" s="37">
        <f t="shared" si="134"/>
        <v>0</v>
      </c>
      <c r="N215" s="37">
        <v>0</v>
      </c>
      <c r="O215" s="37">
        <v>0</v>
      </c>
      <c r="P215" s="37">
        <v>0</v>
      </c>
      <c r="Q215" s="37">
        <v>0</v>
      </c>
      <c r="R215" s="37">
        <f t="shared" si="135"/>
        <v>200</v>
      </c>
      <c r="S215" s="37">
        <f t="shared" si="136"/>
        <v>200</v>
      </c>
      <c r="T215" s="37">
        <f t="shared" si="136"/>
        <v>0</v>
      </c>
      <c r="U215" s="37">
        <f t="shared" si="136"/>
        <v>0</v>
      </c>
      <c r="V215" s="37">
        <f t="shared" si="137"/>
        <v>0</v>
      </c>
      <c r="W215" s="38">
        <f t="shared" si="128"/>
        <v>0</v>
      </c>
      <c r="X215" s="38">
        <f t="shared" si="129"/>
        <v>0</v>
      </c>
      <c r="Y215" s="38"/>
      <c r="Z215" s="38"/>
      <c r="AA215" s="38"/>
    </row>
    <row r="216" spans="1:27" ht="26.25" hidden="1" customHeight="1">
      <c r="A216" s="35" t="s">
        <v>48</v>
      </c>
      <c r="B216" s="36" t="s">
        <v>54</v>
      </c>
      <c r="C216" s="37">
        <f t="shared" si="131"/>
        <v>0</v>
      </c>
      <c r="D216" s="37">
        <f t="shared" si="132"/>
        <v>0</v>
      </c>
      <c r="E216" s="37">
        <v>0</v>
      </c>
      <c r="F216" s="37">
        <v>0</v>
      </c>
      <c r="G216" s="37">
        <v>0</v>
      </c>
      <c r="H216" s="37">
        <f t="shared" si="133"/>
        <v>0</v>
      </c>
      <c r="I216" s="37">
        <v>0</v>
      </c>
      <c r="J216" s="37">
        <v>0</v>
      </c>
      <c r="K216" s="37">
        <v>0</v>
      </c>
      <c r="L216" s="37">
        <v>0</v>
      </c>
      <c r="M216" s="37">
        <f t="shared" si="134"/>
        <v>0</v>
      </c>
      <c r="N216" s="37">
        <v>0</v>
      </c>
      <c r="O216" s="37">
        <v>0</v>
      </c>
      <c r="P216" s="37">
        <v>0</v>
      </c>
      <c r="Q216" s="37">
        <v>0</v>
      </c>
      <c r="R216" s="37">
        <f t="shared" si="135"/>
        <v>0</v>
      </c>
      <c r="S216" s="37">
        <f t="shared" si="136"/>
        <v>0</v>
      </c>
      <c r="T216" s="37">
        <f t="shared" si="136"/>
        <v>0</v>
      </c>
      <c r="U216" s="37">
        <f t="shared" si="136"/>
        <v>0</v>
      </c>
      <c r="V216" s="37">
        <f t="shared" si="137"/>
        <v>0</v>
      </c>
      <c r="W216" s="38"/>
      <c r="X216" s="38"/>
      <c r="Y216" s="38"/>
      <c r="Z216" s="38"/>
      <c r="AA216" s="38"/>
    </row>
    <row r="217" spans="1:27" ht="20.25" hidden="1" customHeight="1">
      <c r="A217" s="35" t="s">
        <v>48</v>
      </c>
      <c r="B217" s="36" t="s">
        <v>55</v>
      </c>
      <c r="C217" s="37">
        <f t="shared" si="131"/>
        <v>220</v>
      </c>
      <c r="D217" s="37">
        <f t="shared" si="132"/>
        <v>0</v>
      </c>
      <c r="E217" s="37">
        <v>0</v>
      </c>
      <c r="F217" s="37">
        <v>0</v>
      </c>
      <c r="G217" s="37">
        <v>0</v>
      </c>
      <c r="H217" s="37">
        <f t="shared" si="133"/>
        <v>220</v>
      </c>
      <c r="I217" s="37">
        <v>220</v>
      </c>
      <c r="J217" s="37">
        <v>0</v>
      </c>
      <c r="K217" s="37">
        <v>0</v>
      </c>
      <c r="L217" s="37">
        <v>0</v>
      </c>
      <c r="M217" s="37">
        <f t="shared" si="134"/>
        <v>0</v>
      </c>
      <c r="N217" s="37">
        <v>0</v>
      </c>
      <c r="O217" s="37">
        <v>0</v>
      </c>
      <c r="P217" s="37">
        <v>0</v>
      </c>
      <c r="Q217" s="37">
        <v>0</v>
      </c>
      <c r="R217" s="37">
        <f t="shared" si="135"/>
        <v>220</v>
      </c>
      <c r="S217" s="37">
        <f t="shared" si="136"/>
        <v>220</v>
      </c>
      <c r="T217" s="37">
        <f t="shared" si="136"/>
        <v>0</v>
      </c>
      <c r="U217" s="37">
        <f t="shared" si="136"/>
        <v>0</v>
      </c>
      <c r="V217" s="37">
        <f t="shared" si="137"/>
        <v>0</v>
      </c>
      <c r="W217" s="38">
        <f t="shared" si="128"/>
        <v>0</v>
      </c>
      <c r="X217" s="38">
        <f t="shared" si="129"/>
        <v>0</v>
      </c>
      <c r="Y217" s="38"/>
      <c r="Z217" s="38"/>
      <c r="AA217" s="38"/>
    </row>
    <row r="218" spans="1:27" ht="15.75" hidden="1" customHeight="1">
      <c r="A218" s="35" t="s">
        <v>48</v>
      </c>
      <c r="B218" s="36" t="s">
        <v>56</v>
      </c>
      <c r="C218" s="37">
        <f t="shared" si="131"/>
        <v>660</v>
      </c>
      <c r="D218" s="37">
        <f t="shared" si="132"/>
        <v>0</v>
      </c>
      <c r="E218" s="37">
        <v>0</v>
      </c>
      <c r="F218" s="37">
        <v>0</v>
      </c>
      <c r="G218" s="37">
        <v>0</v>
      </c>
      <c r="H218" s="37">
        <f t="shared" si="133"/>
        <v>660</v>
      </c>
      <c r="I218" s="37">
        <v>660</v>
      </c>
      <c r="J218" s="37">
        <v>0</v>
      </c>
      <c r="K218" s="37">
        <v>0</v>
      </c>
      <c r="L218" s="37">
        <v>0</v>
      </c>
      <c r="M218" s="37">
        <f t="shared" si="134"/>
        <v>0</v>
      </c>
      <c r="N218" s="37">
        <v>0</v>
      </c>
      <c r="O218" s="37">
        <v>0</v>
      </c>
      <c r="P218" s="37">
        <v>0</v>
      </c>
      <c r="Q218" s="37">
        <v>0</v>
      </c>
      <c r="R218" s="37">
        <f t="shared" si="135"/>
        <v>660</v>
      </c>
      <c r="S218" s="37">
        <f t="shared" si="136"/>
        <v>660</v>
      </c>
      <c r="T218" s="37">
        <f t="shared" si="136"/>
        <v>0</v>
      </c>
      <c r="U218" s="37">
        <f t="shared" si="136"/>
        <v>0</v>
      </c>
      <c r="V218" s="37">
        <f t="shared" si="137"/>
        <v>0</v>
      </c>
      <c r="W218" s="38">
        <f t="shared" si="128"/>
        <v>0</v>
      </c>
      <c r="X218" s="38">
        <f t="shared" si="129"/>
        <v>0</v>
      </c>
      <c r="Y218" s="38"/>
      <c r="Z218" s="38"/>
      <c r="AA218" s="38"/>
    </row>
    <row r="219" spans="1:27" ht="15.75" hidden="1" customHeight="1">
      <c r="A219" s="35" t="s">
        <v>48</v>
      </c>
      <c r="B219" s="36" t="s">
        <v>57</v>
      </c>
      <c r="C219" s="37">
        <f t="shared" si="131"/>
        <v>418</v>
      </c>
      <c r="D219" s="37">
        <f t="shared" si="132"/>
        <v>0</v>
      </c>
      <c r="E219" s="37">
        <v>0</v>
      </c>
      <c r="F219" s="37">
        <v>0</v>
      </c>
      <c r="G219" s="37">
        <v>0</v>
      </c>
      <c r="H219" s="37">
        <f t="shared" si="133"/>
        <v>418</v>
      </c>
      <c r="I219" s="37">
        <v>418</v>
      </c>
      <c r="J219" s="37">
        <v>0</v>
      </c>
      <c r="K219" s="37">
        <v>0</v>
      </c>
      <c r="L219" s="37">
        <v>0</v>
      </c>
      <c r="M219" s="37">
        <f t="shared" si="134"/>
        <v>0</v>
      </c>
      <c r="N219" s="37">
        <v>0</v>
      </c>
      <c r="O219" s="37">
        <v>0</v>
      </c>
      <c r="P219" s="37">
        <v>0</v>
      </c>
      <c r="Q219" s="37">
        <v>0</v>
      </c>
      <c r="R219" s="37">
        <f t="shared" si="135"/>
        <v>418</v>
      </c>
      <c r="S219" s="37">
        <f t="shared" si="136"/>
        <v>418</v>
      </c>
      <c r="T219" s="37">
        <f t="shared" si="136"/>
        <v>0</v>
      </c>
      <c r="U219" s="37">
        <f t="shared" si="136"/>
        <v>0</v>
      </c>
      <c r="V219" s="37">
        <f t="shared" si="137"/>
        <v>0</v>
      </c>
      <c r="W219" s="38">
        <f t="shared" si="128"/>
        <v>0</v>
      </c>
      <c r="X219" s="38">
        <f t="shared" si="129"/>
        <v>0</v>
      </c>
      <c r="Y219" s="38"/>
      <c r="Z219" s="38"/>
      <c r="AA219" s="38"/>
    </row>
    <row r="220" spans="1:27" ht="15.75" hidden="1" customHeight="1">
      <c r="A220" s="35" t="s">
        <v>48</v>
      </c>
      <c r="B220" s="36" t="s">
        <v>58</v>
      </c>
      <c r="C220" s="37">
        <f t="shared" si="131"/>
        <v>0</v>
      </c>
      <c r="D220" s="37">
        <f t="shared" si="132"/>
        <v>0</v>
      </c>
      <c r="E220" s="37">
        <v>0</v>
      </c>
      <c r="F220" s="37">
        <v>0</v>
      </c>
      <c r="G220" s="37">
        <v>0</v>
      </c>
      <c r="H220" s="37">
        <f t="shared" si="133"/>
        <v>0</v>
      </c>
      <c r="I220" s="37">
        <v>0</v>
      </c>
      <c r="J220" s="37">
        <v>0</v>
      </c>
      <c r="K220" s="37">
        <v>0</v>
      </c>
      <c r="L220" s="37">
        <v>0</v>
      </c>
      <c r="M220" s="37">
        <f t="shared" si="134"/>
        <v>0</v>
      </c>
      <c r="N220" s="37">
        <v>0</v>
      </c>
      <c r="O220" s="37">
        <v>0</v>
      </c>
      <c r="P220" s="37">
        <v>0</v>
      </c>
      <c r="Q220" s="37">
        <v>0</v>
      </c>
      <c r="R220" s="37">
        <f t="shared" si="135"/>
        <v>0</v>
      </c>
      <c r="S220" s="37">
        <f t="shared" si="136"/>
        <v>0</v>
      </c>
      <c r="T220" s="37">
        <f t="shared" si="136"/>
        <v>0</v>
      </c>
      <c r="U220" s="37">
        <f t="shared" si="136"/>
        <v>0</v>
      </c>
      <c r="V220" s="37">
        <f t="shared" si="137"/>
        <v>0</v>
      </c>
      <c r="W220" s="38"/>
      <c r="X220" s="38"/>
      <c r="Y220" s="38"/>
      <c r="Z220" s="38"/>
      <c r="AA220" s="38"/>
    </row>
    <row r="221" spans="1:27" ht="15.75" hidden="1" customHeight="1">
      <c r="A221" s="35" t="s">
        <v>48</v>
      </c>
      <c r="B221" s="36" t="s">
        <v>59</v>
      </c>
      <c r="C221" s="37">
        <f t="shared" si="131"/>
        <v>300</v>
      </c>
      <c r="D221" s="37">
        <f t="shared" si="132"/>
        <v>0</v>
      </c>
      <c r="E221" s="37">
        <v>0</v>
      </c>
      <c r="F221" s="37">
        <v>0</v>
      </c>
      <c r="G221" s="37">
        <v>0</v>
      </c>
      <c r="H221" s="37">
        <f t="shared" si="133"/>
        <v>300</v>
      </c>
      <c r="I221" s="37">
        <v>300</v>
      </c>
      <c r="J221" s="37">
        <v>0</v>
      </c>
      <c r="K221" s="37">
        <v>0</v>
      </c>
      <c r="L221" s="37">
        <v>0</v>
      </c>
      <c r="M221" s="37">
        <f t="shared" si="134"/>
        <v>0</v>
      </c>
      <c r="N221" s="37">
        <v>0</v>
      </c>
      <c r="O221" s="37">
        <v>0</v>
      </c>
      <c r="P221" s="37">
        <v>0</v>
      </c>
      <c r="Q221" s="37">
        <v>0</v>
      </c>
      <c r="R221" s="37">
        <f t="shared" si="135"/>
        <v>300</v>
      </c>
      <c r="S221" s="37">
        <f t="shared" si="136"/>
        <v>300</v>
      </c>
      <c r="T221" s="37">
        <f t="shared" si="136"/>
        <v>0</v>
      </c>
      <c r="U221" s="37">
        <f t="shared" si="136"/>
        <v>0</v>
      </c>
      <c r="V221" s="37">
        <f t="shared" si="137"/>
        <v>0</v>
      </c>
      <c r="W221" s="38">
        <f t="shared" si="128"/>
        <v>0</v>
      </c>
      <c r="X221" s="38">
        <f t="shared" si="129"/>
        <v>0</v>
      </c>
      <c r="Y221" s="38"/>
      <c r="Z221" s="38"/>
      <c r="AA221" s="38"/>
    </row>
    <row r="222" spans="1:27" ht="15.75" hidden="1" customHeight="1">
      <c r="A222" s="35" t="s">
        <v>48</v>
      </c>
      <c r="B222" s="36" t="s">
        <v>60</v>
      </c>
      <c r="C222" s="37">
        <f t="shared" si="131"/>
        <v>0</v>
      </c>
      <c r="D222" s="37">
        <f t="shared" si="132"/>
        <v>0</v>
      </c>
      <c r="E222" s="37">
        <v>0</v>
      </c>
      <c r="F222" s="37">
        <v>0</v>
      </c>
      <c r="G222" s="37">
        <v>0</v>
      </c>
      <c r="H222" s="37">
        <f t="shared" si="133"/>
        <v>0</v>
      </c>
      <c r="I222" s="37">
        <v>0</v>
      </c>
      <c r="J222" s="37">
        <v>0</v>
      </c>
      <c r="K222" s="37">
        <v>0</v>
      </c>
      <c r="L222" s="37">
        <v>0</v>
      </c>
      <c r="M222" s="37">
        <f t="shared" si="134"/>
        <v>0</v>
      </c>
      <c r="N222" s="37">
        <v>0</v>
      </c>
      <c r="O222" s="37">
        <v>0</v>
      </c>
      <c r="P222" s="37">
        <v>0</v>
      </c>
      <c r="Q222" s="37">
        <v>0</v>
      </c>
      <c r="R222" s="37">
        <f t="shared" si="135"/>
        <v>0</v>
      </c>
      <c r="S222" s="37">
        <f t="shared" si="136"/>
        <v>0</v>
      </c>
      <c r="T222" s="37">
        <f t="shared" si="136"/>
        <v>0</v>
      </c>
      <c r="U222" s="37">
        <f t="shared" si="136"/>
        <v>0</v>
      </c>
      <c r="V222" s="37">
        <f t="shared" si="137"/>
        <v>0</v>
      </c>
      <c r="W222" s="38"/>
      <c r="X222" s="38"/>
      <c r="Y222" s="38"/>
      <c r="Z222" s="38"/>
      <c r="AA222" s="38"/>
    </row>
    <row r="223" spans="1:27" ht="21" hidden="1">
      <c r="A223" s="35" t="s">
        <v>48</v>
      </c>
      <c r="B223" s="36" t="s">
        <v>61</v>
      </c>
      <c r="C223" s="37">
        <f t="shared" si="131"/>
        <v>124</v>
      </c>
      <c r="D223" s="37">
        <f t="shared" si="132"/>
        <v>0</v>
      </c>
      <c r="E223" s="37">
        <v>0</v>
      </c>
      <c r="F223" s="37">
        <v>0</v>
      </c>
      <c r="G223" s="37">
        <v>0</v>
      </c>
      <c r="H223" s="37">
        <f t="shared" si="133"/>
        <v>124</v>
      </c>
      <c r="I223" s="37">
        <v>124</v>
      </c>
      <c r="J223" s="37">
        <v>0</v>
      </c>
      <c r="K223" s="37">
        <v>0</v>
      </c>
      <c r="L223" s="37">
        <v>0</v>
      </c>
      <c r="M223" s="37">
        <f t="shared" si="134"/>
        <v>0</v>
      </c>
      <c r="N223" s="37">
        <v>0</v>
      </c>
      <c r="O223" s="37">
        <v>0</v>
      </c>
      <c r="P223" s="37">
        <v>0</v>
      </c>
      <c r="Q223" s="37">
        <v>0</v>
      </c>
      <c r="R223" s="37">
        <f t="shared" si="135"/>
        <v>124</v>
      </c>
      <c r="S223" s="37">
        <f t="shared" si="136"/>
        <v>124</v>
      </c>
      <c r="T223" s="37">
        <f t="shared" si="136"/>
        <v>0</v>
      </c>
      <c r="U223" s="37">
        <f t="shared" si="136"/>
        <v>0</v>
      </c>
      <c r="V223" s="37">
        <f t="shared" si="137"/>
        <v>0</v>
      </c>
      <c r="W223" s="38">
        <f t="shared" si="128"/>
        <v>0</v>
      </c>
      <c r="X223" s="38">
        <f t="shared" si="129"/>
        <v>0</v>
      </c>
      <c r="Y223" s="38"/>
      <c r="Z223" s="38"/>
      <c r="AA223" s="38"/>
    </row>
    <row r="224" spans="1:27" ht="18.75" hidden="1" customHeight="1">
      <c r="A224" s="35" t="s">
        <v>48</v>
      </c>
      <c r="B224" s="36" t="s">
        <v>62</v>
      </c>
      <c r="C224" s="37">
        <f t="shared" si="131"/>
        <v>518</v>
      </c>
      <c r="D224" s="37">
        <f t="shared" si="132"/>
        <v>0</v>
      </c>
      <c r="E224" s="37">
        <v>0</v>
      </c>
      <c r="F224" s="37">
        <v>0</v>
      </c>
      <c r="G224" s="37">
        <v>0</v>
      </c>
      <c r="H224" s="37">
        <f t="shared" si="133"/>
        <v>518</v>
      </c>
      <c r="I224" s="37">
        <v>518</v>
      </c>
      <c r="J224" s="37">
        <v>0</v>
      </c>
      <c r="K224" s="37">
        <v>0</v>
      </c>
      <c r="L224" s="37">
        <v>0</v>
      </c>
      <c r="M224" s="37">
        <f t="shared" si="134"/>
        <v>0</v>
      </c>
      <c r="N224" s="37">
        <v>0</v>
      </c>
      <c r="O224" s="37">
        <v>0</v>
      </c>
      <c r="P224" s="37">
        <v>0</v>
      </c>
      <c r="Q224" s="37">
        <v>0</v>
      </c>
      <c r="R224" s="37">
        <f t="shared" si="135"/>
        <v>518</v>
      </c>
      <c r="S224" s="37">
        <f t="shared" si="136"/>
        <v>518</v>
      </c>
      <c r="T224" s="37">
        <f t="shared" si="136"/>
        <v>0</v>
      </c>
      <c r="U224" s="37">
        <f t="shared" si="136"/>
        <v>0</v>
      </c>
      <c r="V224" s="37">
        <f t="shared" si="137"/>
        <v>0</v>
      </c>
      <c r="W224" s="38">
        <f t="shared" si="128"/>
        <v>0</v>
      </c>
      <c r="X224" s="38">
        <f t="shared" si="129"/>
        <v>0</v>
      </c>
      <c r="Y224" s="38"/>
      <c r="Z224" s="38"/>
      <c r="AA224" s="38"/>
    </row>
    <row r="225" spans="1:27" ht="22.5" hidden="1" customHeight="1">
      <c r="A225" s="35" t="s">
        <v>48</v>
      </c>
      <c r="B225" s="36" t="s">
        <v>63</v>
      </c>
      <c r="C225" s="37">
        <f t="shared" si="131"/>
        <v>0</v>
      </c>
      <c r="D225" s="37">
        <f t="shared" si="132"/>
        <v>0</v>
      </c>
      <c r="E225" s="37">
        <v>0</v>
      </c>
      <c r="F225" s="37">
        <v>0</v>
      </c>
      <c r="G225" s="37">
        <v>0</v>
      </c>
      <c r="H225" s="37">
        <f t="shared" si="133"/>
        <v>0</v>
      </c>
      <c r="I225" s="37">
        <v>0</v>
      </c>
      <c r="J225" s="37">
        <v>0</v>
      </c>
      <c r="K225" s="37">
        <v>0</v>
      </c>
      <c r="L225" s="37">
        <v>0</v>
      </c>
      <c r="M225" s="37">
        <f t="shared" si="134"/>
        <v>0</v>
      </c>
      <c r="N225" s="37">
        <v>0</v>
      </c>
      <c r="O225" s="37">
        <v>0</v>
      </c>
      <c r="P225" s="37">
        <v>0</v>
      </c>
      <c r="Q225" s="37">
        <v>0</v>
      </c>
      <c r="R225" s="37">
        <f t="shared" si="135"/>
        <v>0</v>
      </c>
      <c r="S225" s="37">
        <f t="shared" si="136"/>
        <v>0</v>
      </c>
      <c r="T225" s="37">
        <f t="shared" si="136"/>
        <v>0</v>
      </c>
      <c r="U225" s="37">
        <f t="shared" si="136"/>
        <v>0</v>
      </c>
      <c r="V225" s="37">
        <f t="shared" si="137"/>
        <v>0</v>
      </c>
      <c r="W225" s="38"/>
      <c r="X225" s="38"/>
      <c r="Y225" s="38"/>
      <c r="Z225" s="38"/>
      <c r="AA225" s="38"/>
    </row>
    <row r="226" spans="1:27" s="12" customFormat="1" ht="15.75" customHeight="1">
      <c r="A226" s="31" t="s">
        <v>84</v>
      </c>
      <c r="B226" s="32" t="s">
        <v>85</v>
      </c>
      <c r="C226" s="33">
        <f>+C227+C228</f>
        <v>29825</v>
      </c>
      <c r="D226" s="33">
        <f t="shared" ref="D226:V226" si="138">+D227+D228</f>
        <v>265</v>
      </c>
      <c r="E226" s="33">
        <f t="shared" si="138"/>
        <v>265</v>
      </c>
      <c r="F226" s="33">
        <f t="shared" si="138"/>
        <v>0</v>
      </c>
      <c r="G226" s="33">
        <f t="shared" si="138"/>
        <v>0</v>
      </c>
      <c r="H226" s="33">
        <f t="shared" si="138"/>
        <v>29560</v>
      </c>
      <c r="I226" s="33">
        <f t="shared" si="138"/>
        <v>19340</v>
      </c>
      <c r="J226" s="33">
        <f t="shared" si="138"/>
        <v>2000</v>
      </c>
      <c r="K226" s="33">
        <f t="shared" si="138"/>
        <v>0</v>
      </c>
      <c r="L226" s="33">
        <f t="shared" si="138"/>
        <v>8220</v>
      </c>
      <c r="M226" s="33">
        <f t="shared" si="138"/>
        <v>13263.752</v>
      </c>
      <c r="N226" s="33">
        <f t="shared" si="138"/>
        <v>7470.4520000000002</v>
      </c>
      <c r="O226" s="33">
        <f t="shared" si="138"/>
        <v>1800</v>
      </c>
      <c r="P226" s="33">
        <f t="shared" si="138"/>
        <v>0</v>
      </c>
      <c r="Q226" s="33">
        <f t="shared" si="138"/>
        <v>3993.3</v>
      </c>
      <c r="R226" s="33">
        <f t="shared" si="138"/>
        <v>16561.248</v>
      </c>
      <c r="S226" s="33">
        <f t="shared" si="138"/>
        <v>12134.547999999999</v>
      </c>
      <c r="T226" s="33">
        <f t="shared" si="138"/>
        <v>200</v>
      </c>
      <c r="U226" s="33">
        <f t="shared" si="138"/>
        <v>0</v>
      </c>
      <c r="V226" s="33">
        <f t="shared" si="138"/>
        <v>4226.7</v>
      </c>
      <c r="W226" s="34">
        <f>M226/C226</f>
        <v>0.44471926236378878</v>
      </c>
      <c r="X226" s="34">
        <f>N226/(E226+I226)</f>
        <v>0.38104830400408063</v>
      </c>
      <c r="Y226" s="34">
        <f>O226/(F226+J226)</f>
        <v>0.9</v>
      </c>
      <c r="Z226" s="34"/>
      <c r="AA226" s="34">
        <f>Q226/L226</f>
        <v>0.48580291970802925</v>
      </c>
    </row>
    <row r="227" spans="1:27" ht="18.75" customHeight="1">
      <c r="A227" s="35" t="s">
        <v>45</v>
      </c>
      <c r="B227" s="36" t="s">
        <v>46</v>
      </c>
      <c r="C227" s="37">
        <f>+D227+H227</f>
        <v>18355</v>
      </c>
      <c r="D227" s="37">
        <f>SUM(E227:G227)</f>
        <v>265</v>
      </c>
      <c r="E227" s="37">
        <v>265</v>
      </c>
      <c r="F227" s="37">
        <v>0</v>
      </c>
      <c r="G227" s="37">
        <v>0</v>
      </c>
      <c r="H227" s="37">
        <f>SUM(I227:L227)</f>
        <v>18090</v>
      </c>
      <c r="I227" s="37">
        <v>7870</v>
      </c>
      <c r="J227" s="37">
        <v>2000</v>
      </c>
      <c r="K227" s="37">
        <v>0</v>
      </c>
      <c r="L227" s="37">
        <v>8220</v>
      </c>
      <c r="M227" s="37">
        <f>SUM(N227:Q227)</f>
        <v>9645.2999999999993</v>
      </c>
      <c r="N227" s="37">
        <v>3852</v>
      </c>
      <c r="O227" s="37">
        <v>1800</v>
      </c>
      <c r="P227" s="37">
        <v>0</v>
      </c>
      <c r="Q227" s="37">
        <v>3993.3</v>
      </c>
      <c r="R227" s="37">
        <f>SUM(S227:V227)</f>
        <v>8709.7000000000007</v>
      </c>
      <c r="S227" s="37">
        <f>(E227+I227)-N227</f>
        <v>4283</v>
      </c>
      <c r="T227" s="37">
        <f>(F227+J227)-O227</f>
        <v>200</v>
      </c>
      <c r="U227" s="37">
        <f>(G227+K227)-P227</f>
        <v>0</v>
      </c>
      <c r="V227" s="37">
        <f>L227-Q227</f>
        <v>4226.7</v>
      </c>
      <c r="W227" s="38">
        <f t="shared" ref="W227:W242" si="139">M227/C227</f>
        <v>0.52548624353037321</v>
      </c>
      <c r="X227" s="38">
        <f t="shared" ref="X227:X242" si="140">N227/(E227+I227)</f>
        <v>0.47350952673632452</v>
      </c>
      <c r="Y227" s="38">
        <f>O227/(F227+J227)</f>
        <v>0.9</v>
      </c>
      <c r="Z227" s="38"/>
      <c r="AA227" s="38">
        <f>Q227/L227</f>
        <v>0.48580291970802925</v>
      </c>
    </row>
    <row r="228" spans="1:27" ht="15.75" customHeight="1">
      <c r="A228" s="35" t="s">
        <v>45</v>
      </c>
      <c r="B228" s="36" t="s">
        <v>47</v>
      </c>
      <c r="C228" s="37">
        <f t="shared" ref="C228:V228" si="141">SUM(C229:C243)</f>
        <v>11470</v>
      </c>
      <c r="D228" s="37">
        <f t="shared" si="141"/>
        <v>0</v>
      </c>
      <c r="E228" s="37">
        <f t="shared" si="141"/>
        <v>0</v>
      </c>
      <c r="F228" s="37">
        <f t="shared" si="141"/>
        <v>0</v>
      </c>
      <c r="G228" s="37">
        <f t="shared" si="141"/>
        <v>0</v>
      </c>
      <c r="H228" s="37">
        <f t="shared" si="141"/>
        <v>11470</v>
      </c>
      <c r="I228" s="37">
        <f t="shared" si="141"/>
        <v>11470</v>
      </c>
      <c r="J228" s="37">
        <f t="shared" si="141"/>
        <v>0</v>
      </c>
      <c r="K228" s="37">
        <f t="shared" si="141"/>
        <v>0</v>
      </c>
      <c r="L228" s="37">
        <f t="shared" si="141"/>
        <v>0</v>
      </c>
      <c r="M228" s="37">
        <f t="shared" si="141"/>
        <v>3618.4520000000002</v>
      </c>
      <c r="N228" s="37">
        <f t="shared" si="141"/>
        <v>3618.4520000000002</v>
      </c>
      <c r="O228" s="37">
        <f t="shared" si="141"/>
        <v>0</v>
      </c>
      <c r="P228" s="37">
        <f t="shared" si="141"/>
        <v>0</v>
      </c>
      <c r="Q228" s="37">
        <f t="shared" si="141"/>
        <v>0</v>
      </c>
      <c r="R228" s="37">
        <f t="shared" si="141"/>
        <v>7851.5479999999998</v>
      </c>
      <c r="S228" s="37">
        <f t="shared" si="141"/>
        <v>7851.5479999999998</v>
      </c>
      <c r="T228" s="37">
        <f t="shared" si="141"/>
        <v>0</v>
      </c>
      <c r="U228" s="37">
        <f t="shared" si="141"/>
        <v>0</v>
      </c>
      <c r="V228" s="37">
        <f t="shared" si="141"/>
        <v>0</v>
      </c>
      <c r="W228" s="38">
        <f t="shared" si="139"/>
        <v>0.3154709677419355</v>
      </c>
      <c r="X228" s="38">
        <f t="shared" si="140"/>
        <v>0.3154709677419355</v>
      </c>
      <c r="Y228" s="38"/>
      <c r="Z228" s="38"/>
      <c r="AA228" s="38"/>
    </row>
    <row r="229" spans="1:27" ht="15.75" hidden="1" customHeight="1">
      <c r="A229" s="35" t="s">
        <v>48</v>
      </c>
      <c r="B229" s="36" t="s">
        <v>49</v>
      </c>
      <c r="C229" s="37">
        <f t="shared" ref="C229:C243" si="142">+D229+H229</f>
        <v>2170</v>
      </c>
      <c r="D229" s="37">
        <f t="shared" ref="D229:D243" si="143">SUM(E229:G229)</f>
        <v>0</v>
      </c>
      <c r="E229" s="37">
        <v>0</v>
      </c>
      <c r="F229" s="37">
        <v>0</v>
      </c>
      <c r="G229" s="37">
        <v>0</v>
      </c>
      <c r="H229" s="37">
        <f t="shared" ref="H229:H243" si="144">SUM(I229:L229)</f>
        <v>2170</v>
      </c>
      <c r="I229" s="37">
        <v>2170</v>
      </c>
      <c r="J229" s="37">
        <v>0</v>
      </c>
      <c r="K229" s="37">
        <v>0</v>
      </c>
      <c r="L229" s="37">
        <v>0</v>
      </c>
      <c r="M229" s="37">
        <f t="shared" ref="M229:M243" si="145">SUM(N229:Q229)</f>
        <v>2005.2540000000001</v>
      </c>
      <c r="N229" s="37">
        <v>2005.2540000000001</v>
      </c>
      <c r="O229" s="37">
        <v>0</v>
      </c>
      <c r="P229" s="37">
        <v>0</v>
      </c>
      <c r="Q229" s="37">
        <v>0</v>
      </c>
      <c r="R229" s="37">
        <f t="shared" ref="R229:R243" si="146">SUM(S229:V229)</f>
        <v>164.74599999999987</v>
      </c>
      <c r="S229" s="37">
        <f t="shared" ref="S229:U243" si="147">(E229+I229)-N229</f>
        <v>164.74599999999987</v>
      </c>
      <c r="T229" s="37">
        <f t="shared" si="147"/>
        <v>0</v>
      </c>
      <c r="U229" s="37">
        <f t="shared" si="147"/>
        <v>0</v>
      </c>
      <c r="V229" s="37">
        <f t="shared" ref="V229:V243" si="148">L229-Q229</f>
        <v>0</v>
      </c>
      <c r="W229" s="38">
        <f t="shared" si="139"/>
        <v>0.92408018433179728</v>
      </c>
      <c r="X229" s="38">
        <f t="shared" si="140"/>
        <v>0.92408018433179728</v>
      </c>
      <c r="Y229" s="38"/>
      <c r="Z229" s="38"/>
      <c r="AA229" s="38"/>
    </row>
    <row r="230" spans="1:27" ht="15.75" hidden="1" customHeight="1">
      <c r="A230" s="35" t="s">
        <v>48</v>
      </c>
      <c r="B230" s="36" t="s">
        <v>50</v>
      </c>
      <c r="C230" s="37">
        <f t="shared" si="142"/>
        <v>4342</v>
      </c>
      <c r="D230" s="37">
        <f t="shared" si="143"/>
        <v>0</v>
      </c>
      <c r="E230" s="37">
        <v>0</v>
      </c>
      <c r="F230" s="37">
        <v>0</v>
      </c>
      <c r="G230" s="37">
        <v>0</v>
      </c>
      <c r="H230" s="37">
        <f t="shared" si="144"/>
        <v>4342</v>
      </c>
      <c r="I230" s="37">
        <v>4342</v>
      </c>
      <c r="J230" s="37">
        <v>0</v>
      </c>
      <c r="K230" s="37">
        <v>0</v>
      </c>
      <c r="L230" s="37">
        <v>0</v>
      </c>
      <c r="M230" s="37">
        <f t="shared" si="145"/>
        <v>616.20000000000005</v>
      </c>
      <c r="N230" s="37">
        <v>616.20000000000005</v>
      </c>
      <c r="O230" s="37">
        <v>0</v>
      </c>
      <c r="P230" s="37">
        <v>0</v>
      </c>
      <c r="Q230" s="37">
        <v>0</v>
      </c>
      <c r="R230" s="37">
        <f t="shared" si="146"/>
        <v>3725.8</v>
      </c>
      <c r="S230" s="37">
        <f t="shared" si="147"/>
        <v>3725.8</v>
      </c>
      <c r="T230" s="37">
        <f t="shared" si="147"/>
        <v>0</v>
      </c>
      <c r="U230" s="37">
        <f t="shared" si="147"/>
        <v>0</v>
      </c>
      <c r="V230" s="37">
        <f t="shared" si="148"/>
        <v>0</v>
      </c>
      <c r="W230" s="38">
        <f t="shared" si="139"/>
        <v>0.14191616766467066</v>
      </c>
      <c r="X230" s="38">
        <f t="shared" si="140"/>
        <v>0.14191616766467066</v>
      </c>
      <c r="Y230" s="38"/>
      <c r="Z230" s="38"/>
      <c r="AA230" s="38"/>
    </row>
    <row r="231" spans="1:27" ht="15.75" hidden="1" customHeight="1">
      <c r="A231" s="35" t="s">
        <v>48</v>
      </c>
      <c r="B231" s="36" t="s">
        <v>51</v>
      </c>
      <c r="C231" s="37">
        <f t="shared" si="142"/>
        <v>195</v>
      </c>
      <c r="D231" s="37">
        <f t="shared" si="143"/>
        <v>0</v>
      </c>
      <c r="E231" s="37">
        <v>0</v>
      </c>
      <c r="F231" s="37">
        <v>0</v>
      </c>
      <c r="G231" s="37">
        <v>0</v>
      </c>
      <c r="H231" s="37">
        <f t="shared" si="144"/>
        <v>195</v>
      </c>
      <c r="I231" s="37">
        <v>195</v>
      </c>
      <c r="J231" s="37">
        <v>0</v>
      </c>
      <c r="K231" s="37">
        <v>0</v>
      </c>
      <c r="L231" s="37">
        <v>0</v>
      </c>
      <c r="M231" s="37">
        <f t="shared" si="145"/>
        <v>0</v>
      </c>
      <c r="N231" s="37">
        <v>0</v>
      </c>
      <c r="O231" s="37">
        <v>0</v>
      </c>
      <c r="P231" s="37">
        <v>0</v>
      </c>
      <c r="Q231" s="37">
        <v>0</v>
      </c>
      <c r="R231" s="37">
        <f t="shared" si="146"/>
        <v>195</v>
      </c>
      <c r="S231" s="37">
        <f t="shared" si="147"/>
        <v>195</v>
      </c>
      <c r="T231" s="37">
        <f t="shared" si="147"/>
        <v>0</v>
      </c>
      <c r="U231" s="37">
        <f t="shared" si="147"/>
        <v>0</v>
      </c>
      <c r="V231" s="37">
        <f t="shared" si="148"/>
        <v>0</v>
      </c>
      <c r="W231" s="38">
        <f t="shared" si="139"/>
        <v>0</v>
      </c>
      <c r="X231" s="38">
        <f t="shared" si="140"/>
        <v>0</v>
      </c>
      <c r="Y231" s="38"/>
      <c r="Z231" s="38"/>
      <c r="AA231" s="38"/>
    </row>
    <row r="232" spans="1:27" ht="24" hidden="1" customHeight="1">
      <c r="A232" s="35" t="s">
        <v>48</v>
      </c>
      <c r="B232" s="36" t="s">
        <v>52</v>
      </c>
      <c r="C232" s="37">
        <f t="shared" si="142"/>
        <v>195</v>
      </c>
      <c r="D232" s="37">
        <f t="shared" si="143"/>
        <v>0</v>
      </c>
      <c r="E232" s="37">
        <v>0</v>
      </c>
      <c r="F232" s="37">
        <v>0</v>
      </c>
      <c r="G232" s="37">
        <v>0</v>
      </c>
      <c r="H232" s="37">
        <f t="shared" si="144"/>
        <v>195</v>
      </c>
      <c r="I232" s="37">
        <v>195</v>
      </c>
      <c r="J232" s="37">
        <v>0</v>
      </c>
      <c r="K232" s="37">
        <v>0</v>
      </c>
      <c r="L232" s="37">
        <v>0</v>
      </c>
      <c r="M232" s="37">
        <f t="shared" si="145"/>
        <v>0</v>
      </c>
      <c r="N232" s="37">
        <v>0</v>
      </c>
      <c r="O232" s="37">
        <v>0</v>
      </c>
      <c r="P232" s="37">
        <v>0</v>
      </c>
      <c r="Q232" s="37">
        <v>0</v>
      </c>
      <c r="R232" s="37">
        <f t="shared" si="146"/>
        <v>195</v>
      </c>
      <c r="S232" s="37">
        <f t="shared" si="147"/>
        <v>195</v>
      </c>
      <c r="T232" s="37">
        <f t="shared" si="147"/>
        <v>0</v>
      </c>
      <c r="U232" s="37">
        <f t="shared" si="147"/>
        <v>0</v>
      </c>
      <c r="V232" s="37">
        <f t="shared" si="148"/>
        <v>0</v>
      </c>
      <c r="W232" s="38">
        <f t="shared" si="139"/>
        <v>0</v>
      </c>
      <c r="X232" s="38">
        <f t="shared" si="140"/>
        <v>0</v>
      </c>
      <c r="Y232" s="38"/>
      <c r="Z232" s="38"/>
      <c r="AA232" s="38"/>
    </row>
    <row r="233" spans="1:27" ht="25.5" hidden="1" customHeight="1">
      <c r="A233" s="35" t="s">
        <v>48</v>
      </c>
      <c r="B233" s="36" t="s">
        <v>53</v>
      </c>
      <c r="C233" s="37">
        <f t="shared" si="142"/>
        <v>200</v>
      </c>
      <c r="D233" s="37">
        <f t="shared" si="143"/>
        <v>0</v>
      </c>
      <c r="E233" s="37">
        <v>0</v>
      </c>
      <c r="F233" s="37">
        <v>0</v>
      </c>
      <c r="G233" s="37">
        <v>0</v>
      </c>
      <c r="H233" s="37">
        <f t="shared" si="144"/>
        <v>200</v>
      </c>
      <c r="I233" s="37">
        <v>200</v>
      </c>
      <c r="J233" s="37">
        <v>0</v>
      </c>
      <c r="K233" s="37">
        <v>0</v>
      </c>
      <c r="L233" s="37">
        <v>0</v>
      </c>
      <c r="M233" s="37">
        <f t="shared" si="145"/>
        <v>0</v>
      </c>
      <c r="N233" s="37">
        <v>0</v>
      </c>
      <c r="O233" s="37">
        <v>0</v>
      </c>
      <c r="P233" s="37">
        <v>0</v>
      </c>
      <c r="Q233" s="37">
        <v>0</v>
      </c>
      <c r="R233" s="37">
        <f t="shared" si="146"/>
        <v>200</v>
      </c>
      <c r="S233" s="37">
        <f t="shared" si="147"/>
        <v>200</v>
      </c>
      <c r="T233" s="37">
        <f t="shared" si="147"/>
        <v>0</v>
      </c>
      <c r="U233" s="37">
        <f t="shared" si="147"/>
        <v>0</v>
      </c>
      <c r="V233" s="37">
        <f t="shared" si="148"/>
        <v>0</v>
      </c>
      <c r="W233" s="38">
        <f t="shared" si="139"/>
        <v>0</v>
      </c>
      <c r="X233" s="38">
        <f t="shared" si="140"/>
        <v>0</v>
      </c>
      <c r="Y233" s="38"/>
      <c r="Z233" s="38"/>
      <c r="AA233" s="38"/>
    </row>
    <row r="234" spans="1:27" ht="26.25" hidden="1" customHeight="1">
      <c r="A234" s="35" t="s">
        <v>48</v>
      </c>
      <c r="B234" s="36" t="s">
        <v>54</v>
      </c>
      <c r="C234" s="37">
        <f t="shared" si="142"/>
        <v>0</v>
      </c>
      <c r="D234" s="37">
        <f t="shared" si="143"/>
        <v>0</v>
      </c>
      <c r="E234" s="37">
        <v>0</v>
      </c>
      <c r="F234" s="37">
        <v>0</v>
      </c>
      <c r="G234" s="37">
        <v>0</v>
      </c>
      <c r="H234" s="37">
        <f t="shared" si="144"/>
        <v>0</v>
      </c>
      <c r="I234" s="37">
        <v>0</v>
      </c>
      <c r="J234" s="37">
        <v>0</v>
      </c>
      <c r="K234" s="37">
        <v>0</v>
      </c>
      <c r="L234" s="37">
        <v>0</v>
      </c>
      <c r="M234" s="37">
        <f t="shared" si="145"/>
        <v>0</v>
      </c>
      <c r="N234" s="37">
        <v>0</v>
      </c>
      <c r="O234" s="37">
        <v>0</v>
      </c>
      <c r="P234" s="37">
        <v>0</v>
      </c>
      <c r="Q234" s="37">
        <v>0</v>
      </c>
      <c r="R234" s="37">
        <f t="shared" si="146"/>
        <v>0</v>
      </c>
      <c r="S234" s="37">
        <f t="shared" si="147"/>
        <v>0</v>
      </c>
      <c r="T234" s="37">
        <f t="shared" si="147"/>
        <v>0</v>
      </c>
      <c r="U234" s="37">
        <f t="shared" si="147"/>
        <v>0</v>
      </c>
      <c r="V234" s="37">
        <f t="shared" si="148"/>
        <v>0</v>
      </c>
      <c r="W234" s="38"/>
      <c r="X234" s="38"/>
      <c r="Y234" s="38"/>
      <c r="Z234" s="38"/>
      <c r="AA234" s="38"/>
    </row>
    <row r="235" spans="1:27" ht="20.25" hidden="1" customHeight="1">
      <c r="A235" s="35" t="s">
        <v>48</v>
      </c>
      <c r="B235" s="36" t="s">
        <v>55</v>
      </c>
      <c r="C235" s="37">
        <f t="shared" si="142"/>
        <v>520</v>
      </c>
      <c r="D235" s="37">
        <f t="shared" si="143"/>
        <v>0</v>
      </c>
      <c r="E235" s="37">
        <v>0</v>
      </c>
      <c r="F235" s="37">
        <v>0</v>
      </c>
      <c r="G235" s="37">
        <v>0</v>
      </c>
      <c r="H235" s="37">
        <f t="shared" si="144"/>
        <v>520</v>
      </c>
      <c r="I235" s="37">
        <v>520</v>
      </c>
      <c r="J235" s="37">
        <v>0</v>
      </c>
      <c r="K235" s="37">
        <v>0</v>
      </c>
      <c r="L235" s="37">
        <v>0</v>
      </c>
      <c r="M235" s="37">
        <f t="shared" si="145"/>
        <v>144.15799999999999</v>
      </c>
      <c r="N235" s="37">
        <v>144.15799999999999</v>
      </c>
      <c r="O235" s="37">
        <v>0</v>
      </c>
      <c r="P235" s="37">
        <v>0</v>
      </c>
      <c r="Q235" s="37">
        <v>0</v>
      </c>
      <c r="R235" s="37">
        <f t="shared" si="146"/>
        <v>375.84199999999998</v>
      </c>
      <c r="S235" s="37">
        <f t="shared" si="147"/>
        <v>375.84199999999998</v>
      </c>
      <c r="T235" s="37">
        <f t="shared" si="147"/>
        <v>0</v>
      </c>
      <c r="U235" s="37">
        <f t="shared" si="147"/>
        <v>0</v>
      </c>
      <c r="V235" s="37">
        <f t="shared" si="148"/>
        <v>0</v>
      </c>
      <c r="W235" s="38">
        <f t="shared" si="139"/>
        <v>0.27722692307692304</v>
      </c>
      <c r="X235" s="38">
        <f t="shared" si="140"/>
        <v>0.27722692307692304</v>
      </c>
      <c r="Y235" s="38"/>
      <c r="Z235" s="38"/>
      <c r="AA235" s="38"/>
    </row>
    <row r="236" spans="1:27" ht="15.75" hidden="1" customHeight="1">
      <c r="A236" s="35" t="s">
        <v>48</v>
      </c>
      <c r="B236" s="36" t="s">
        <v>56</v>
      </c>
      <c r="C236" s="37">
        <f t="shared" si="142"/>
        <v>2283</v>
      </c>
      <c r="D236" s="37">
        <f t="shared" si="143"/>
        <v>0</v>
      </c>
      <c r="E236" s="37">
        <v>0</v>
      </c>
      <c r="F236" s="37">
        <v>0</v>
      </c>
      <c r="G236" s="37">
        <v>0</v>
      </c>
      <c r="H236" s="37">
        <f t="shared" si="144"/>
        <v>2283</v>
      </c>
      <c r="I236" s="37">
        <v>2283</v>
      </c>
      <c r="J236" s="37">
        <v>0</v>
      </c>
      <c r="K236" s="37">
        <v>0</v>
      </c>
      <c r="L236" s="37">
        <v>0</v>
      </c>
      <c r="M236" s="37">
        <f t="shared" si="145"/>
        <v>451.84000000000003</v>
      </c>
      <c r="N236" s="37">
        <v>451.84000000000003</v>
      </c>
      <c r="O236" s="37">
        <v>0</v>
      </c>
      <c r="P236" s="37">
        <v>0</v>
      </c>
      <c r="Q236" s="37">
        <v>0</v>
      </c>
      <c r="R236" s="37">
        <f t="shared" si="146"/>
        <v>1831.1599999999999</v>
      </c>
      <c r="S236" s="37">
        <f t="shared" si="147"/>
        <v>1831.1599999999999</v>
      </c>
      <c r="T236" s="37">
        <f t="shared" si="147"/>
        <v>0</v>
      </c>
      <c r="U236" s="37">
        <f t="shared" si="147"/>
        <v>0</v>
      </c>
      <c r="V236" s="37">
        <f t="shared" si="148"/>
        <v>0</v>
      </c>
      <c r="W236" s="38">
        <f t="shared" si="139"/>
        <v>0.1979150240911082</v>
      </c>
      <c r="X236" s="38">
        <f t="shared" si="140"/>
        <v>0.1979150240911082</v>
      </c>
      <c r="Y236" s="38"/>
      <c r="Z236" s="38"/>
      <c r="AA236" s="38"/>
    </row>
    <row r="237" spans="1:27" ht="15.75" hidden="1" customHeight="1">
      <c r="A237" s="35" t="s">
        <v>48</v>
      </c>
      <c r="B237" s="36" t="s">
        <v>57</v>
      </c>
      <c r="C237" s="37">
        <f t="shared" si="142"/>
        <v>474</v>
      </c>
      <c r="D237" s="37">
        <f t="shared" si="143"/>
        <v>0</v>
      </c>
      <c r="E237" s="37">
        <v>0</v>
      </c>
      <c r="F237" s="37">
        <v>0</v>
      </c>
      <c r="G237" s="37">
        <v>0</v>
      </c>
      <c r="H237" s="37">
        <f t="shared" si="144"/>
        <v>474</v>
      </c>
      <c r="I237" s="37">
        <v>474</v>
      </c>
      <c r="J237" s="37">
        <v>0</v>
      </c>
      <c r="K237" s="37">
        <v>0</v>
      </c>
      <c r="L237" s="37">
        <v>0</v>
      </c>
      <c r="M237" s="37">
        <f t="shared" si="145"/>
        <v>201</v>
      </c>
      <c r="N237" s="37">
        <v>201</v>
      </c>
      <c r="O237" s="37">
        <v>0</v>
      </c>
      <c r="P237" s="37">
        <v>0</v>
      </c>
      <c r="Q237" s="37">
        <v>0</v>
      </c>
      <c r="R237" s="37">
        <f t="shared" si="146"/>
        <v>273</v>
      </c>
      <c r="S237" s="37">
        <f t="shared" si="147"/>
        <v>273</v>
      </c>
      <c r="T237" s="37">
        <f t="shared" si="147"/>
        <v>0</v>
      </c>
      <c r="U237" s="37">
        <f t="shared" si="147"/>
        <v>0</v>
      </c>
      <c r="V237" s="37">
        <f t="shared" si="148"/>
        <v>0</v>
      </c>
      <c r="W237" s="38">
        <f t="shared" si="139"/>
        <v>0.42405063291139239</v>
      </c>
      <c r="X237" s="38">
        <f t="shared" si="140"/>
        <v>0.42405063291139239</v>
      </c>
      <c r="Y237" s="38"/>
      <c r="Z237" s="38"/>
      <c r="AA237" s="38"/>
    </row>
    <row r="238" spans="1:27" ht="15.75" hidden="1" customHeight="1">
      <c r="A238" s="35" t="s">
        <v>48</v>
      </c>
      <c r="B238" s="36" t="s">
        <v>58</v>
      </c>
      <c r="C238" s="37">
        <f t="shared" si="142"/>
        <v>0</v>
      </c>
      <c r="D238" s="37">
        <f t="shared" si="143"/>
        <v>0</v>
      </c>
      <c r="E238" s="37">
        <v>0</v>
      </c>
      <c r="F238" s="37">
        <v>0</v>
      </c>
      <c r="G238" s="37">
        <v>0</v>
      </c>
      <c r="H238" s="37">
        <f t="shared" si="144"/>
        <v>0</v>
      </c>
      <c r="I238" s="37">
        <v>0</v>
      </c>
      <c r="J238" s="37">
        <v>0</v>
      </c>
      <c r="K238" s="37">
        <v>0</v>
      </c>
      <c r="L238" s="37">
        <v>0</v>
      </c>
      <c r="M238" s="37">
        <f t="shared" si="145"/>
        <v>0</v>
      </c>
      <c r="N238" s="37">
        <v>0</v>
      </c>
      <c r="O238" s="37">
        <v>0</v>
      </c>
      <c r="P238" s="37">
        <v>0</v>
      </c>
      <c r="Q238" s="37">
        <v>0</v>
      </c>
      <c r="R238" s="37">
        <f t="shared" si="146"/>
        <v>0</v>
      </c>
      <c r="S238" s="37">
        <f t="shared" si="147"/>
        <v>0</v>
      </c>
      <c r="T238" s="37">
        <f t="shared" si="147"/>
        <v>0</v>
      </c>
      <c r="U238" s="37">
        <f t="shared" si="147"/>
        <v>0</v>
      </c>
      <c r="V238" s="37">
        <f t="shared" si="148"/>
        <v>0</v>
      </c>
      <c r="W238" s="38"/>
      <c r="X238" s="38"/>
      <c r="Y238" s="38"/>
      <c r="Z238" s="38"/>
      <c r="AA238" s="38"/>
    </row>
    <row r="239" spans="1:27" ht="15.75" hidden="1" customHeight="1">
      <c r="A239" s="35" t="s">
        <v>48</v>
      </c>
      <c r="B239" s="36" t="s">
        <v>59</v>
      </c>
      <c r="C239" s="37">
        <f t="shared" si="142"/>
        <v>300</v>
      </c>
      <c r="D239" s="37">
        <f t="shared" si="143"/>
        <v>0</v>
      </c>
      <c r="E239" s="37">
        <v>0</v>
      </c>
      <c r="F239" s="37">
        <v>0</v>
      </c>
      <c r="G239" s="37">
        <v>0</v>
      </c>
      <c r="H239" s="37">
        <f t="shared" si="144"/>
        <v>300</v>
      </c>
      <c r="I239" s="37">
        <v>300</v>
      </c>
      <c r="J239" s="37">
        <v>0</v>
      </c>
      <c r="K239" s="37">
        <v>0</v>
      </c>
      <c r="L239" s="37">
        <v>0</v>
      </c>
      <c r="M239" s="37">
        <f t="shared" si="145"/>
        <v>0</v>
      </c>
      <c r="N239" s="37">
        <v>0</v>
      </c>
      <c r="O239" s="37">
        <v>0</v>
      </c>
      <c r="P239" s="37">
        <v>0</v>
      </c>
      <c r="Q239" s="37">
        <v>0</v>
      </c>
      <c r="R239" s="37">
        <f t="shared" si="146"/>
        <v>300</v>
      </c>
      <c r="S239" s="37">
        <f t="shared" si="147"/>
        <v>300</v>
      </c>
      <c r="T239" s="37">
        <f t="shared" si="147"/>
        <v>0</v>
      </c>
      <c r="U239" s="37">
        <f t="shared" si="147"/>
        <v>0</v>
      </c>
      <c r="V239" s="37">
        <f t="shared" si="148"/>
        <v>0</v>
      </c>
      <c r="W239" s="38">
        <f t="shared" si="139"/>
        <v>0</v>
      </c>
      <c r="X239" s="38">
        <f t="shared" si="140"/>
        <v>0</v>
      </c>
      <c r="Y239" s="38"/>
      <c r="Z239" s="38"/>
      <c r="AA239" s="38"/>
    </row>
    <row r="240" spans="1:27" ht="15.75" hidden="1" customHeight="1">
      <c r="A240" s="35" t="s">
        <v>48</v>
      </c>
      <c r="B240" s="36" t="s">
        <v>60</v>
      </c>
      <c r="C240" s="37">
        <f t="shared" si="142"/>
        <v>0</v>
      </c>
      <c r="D240" s="37">
        <f t="shared" si="143"/>
        <v>0</v>
      </c>
      <c r="E240" s="37">
        <v>0</v>
      </c>
      <c r="F240" s="37">
        <v>0</v>
      </c>
      <c r="G240" s="37">
        <v>0</v>
      </c>
      <c r="H240" s="37">
        <f t="shared" si="144"/>
        <v>0</v>
      </c>
      <c r="I240" s="37">
        <v>0</v>
      </c>
      <c r="J240" s="37">
        <v>0</v>
      </c>
      <c r="K240" s="37">
        <v>0</v>
      </c>
      <c r="L240" s="37">
        <v>0</v>
      </c>
      <c r="M240" s="37">
        <f t="shared" si="145"/>
        <v>0</v>
      </c>
      <c r="N240" s="37">
        <v>0</v>
      </c>
      <c r="O240" s="37">
        <v>0</v>
      </c>
      <c r="P240" s="37">
        <v>0</v>
      </c>
      <c r="Q240" s="37">
        <v>0</v>
      </c>
      <c r="R240" s="37">
        <f t="shared" si="146"/>
        <v>0</v>
      </c>
      <c r="S240" s="37">
        <f t="shared" si="147"/>
        <v>0</v>
      </c>
      <c r="T240" s="37">
        <f t="shared" si="147"/>
        <v>0</v>
      </c>
      <c r="U240" s="37">
        <f t="shared" si="147"/>
        <v>0</v>
      </c>
      <c r="V240" s="37">
        <f t="shared" si="148"/>
        <v>0</v>
      </c>
      <c r="W240" s="38"/>
      <c r="X240" s="38"/>
      <c r="Y240" s="38"/>
      <c r="Z240" s="38"/>
      <c r="AA240" s="38"/>
    </row>
    <row r="241" spans="1:27" ht="21" hidden="1">
      <c r="A241" s="35" t="s">
        <v>48</v>
      </c>
      <c r="B241" s="36" t="s">
        <v>61</v>
      </c>
      <c r="C241" s="37">
        <f t="shared" si="142"/>
        <v>82</v>
      </c>
      <c r="D241" s="37">
        <f t="shared" si="143"/>
        <v>0</v>
      </c>
      <c r="E241" s="37">
        <v>0</v>
      </c>
      <c r="F241" s="37">
        <v>0</v>
      </c>
      <c r="G241" s="37">
        <v>0</v>
      </c>
      <c r="H241" s="37">
        <f t="shared" si="144"/>
        <v>82</v>
      </c>
      <c r="I241" s="37">
        <v>82</v>
      </c>
      <c r="J241" s="37">
        <v>0</v>
      </c>
      <c r="K241" s="37">
        <v>0</v>
      </c>
      <c r="L241" s="37">
        <v>0</v>
      </c>
      <c r="M241" s="37">
        <f t="shared" si="145"/>
        <v>59</v>
      </c>
      <c r="N241" s="37">
        <v>59</v>
      </c>
      <c r="O241" s="37">
        <v>0</v>
      </c>
      <c r="P241" s="37">
        <v>0</v>
      </c>
      <c r="Q241" s="37">
        <v>0</v>
      </c>
      <c r="R241" s="37">
        <f t="shared" si="146"/>
        <v>23</v>
      </c>
      <c r="S241" s="37">
        <f t="shared" si="147"/>
        <v>23</v>
      </c>
      <c r="T241" s="37">
        <f t="shared" si="147"/>
        <v>0</v>
      </c>
      <c r="U241" s="37">
        <f t="shared" si="147"/>
        <v>0</v>
      </c>
      <c r="V241" s="37">
        <f t="shared" si="148"/>
        <v>0</v>
      </c>
      <c r="W241" s="38">
        <f t="shared" si="139"/>
        <v>0.71951219512195119</v>
      </c>
      <c r="X241" s="38">
        <f t="shared" si="140"/>
        <v>0.71951219512195119</v>
      </c>
      <c r="Y241" s="38"/>
      <c r="Z241" s="38"/>
      <c r="AA241" s="38"/>
    </row>
    <row r="242" spans="1:27" ht="18.75" hidden="1" customHeight="1">
      <c r="A242" s="35" t="s">
        <v>48</v>
      </c>
      <c r="B242" s="36" t="s">
        <v>62</v>
      </c>
      <c r="C242" s="37">
        <f t="shared" si="142"/>
        <v>709</v>
      </c>
      <c r="D242" s="37">
        <f t="shared" si="143"/>
        <v>0</v>
      </c>
      <c r="E242" s="37">
        <v>0</v>
      </c>
      <c r="F242" s="37">
        <v>0</v>
      </c>
      <c r="G242" s="37">
        <v>0</v>
      </c>
      <c r="H242" s="37">
        <f t="shared" si="144"/>
        <v>709</v>
      </c>
      <c r="I242" s="37">
        <v>709</v>
      </c>
      <c r="J242" s="37">
        <v>0</v>
      </c>
      <c r="K242" s="37">
        <v>0</v>
      </c>
      <c r="L242" s="37">
        <v>0</v>
      </c>
      <c r="M242" s="37">
        <f t="shared" si="145"/>
        <v>141</v>
      </c>
      <c r="N242" s="37">
        <v>141</v>
      </c>
      <c r="O242" s="37">
        <v>0</v>
      </c>
      <c r="P242" s="37">
        <v>0</v>
      </c>
      <c r="Q242" s="37">
        <v>0</v>
      </c>
      <c r="R242" s="37">
        <f t="shared" si="146"/>
        <v>568</v>
      </c>
      <c r="S242" s="37">
        <f t="shared" si="147"/>
        <v>568</v>
      </c>
      <c r="T242" s="37">
        <f t="shared" si="147"/>
        <v>0</v>
      </c>
      <c r="U242" s="37">
        <f t="shared" si="147"/>
        <v>0</v>
      </c>
      <c r="V242" s="37">
        <f t="shared" si="148"/>
        <v>0</v>
      </c>
      <c r="W242" s="38">
        <f t="shared" si="139"/>
        <v>0.19887165021156558</v>
      </c>
      <c r="X242" s="38">
        <f t="shared" si="140"/>
        <v>0.19887165021156558</v>
      </c>
      <c r="Y242" s="38"/>
      <c r="Z242" s="38"/>
      <c r="AA242" s="38"/>
    </row>
    <row r="243" spans="1:27" ht="22.5" hidden="1" customHeight="1">
      <c r="A243" s="35" t="s">
        <v>48</v>
      </c>
      <c r="B243" s="36" t="s">
        <v>63</v>
      </c>
      <c r="C243" s="37">
        <f t="shared" si="142"/>
        <v>0</v>
      </c>
      <c r="D243" s="37">
        <f t="shared" si="143"/>
        <v>0</v>
      </c>
      <c r="E243" s="37">
        <v>0</v>
      </c>
      <c r="F243" s="37">
        <v>0</v>
      </c>
      <c r="G243" s="37">
        <v>0</v>
      </c>
      <c r="H243" s="37">
        <f t="shared" si="144"/>
        <v>0</v>
      </c>
      <c r="I243" s="37">
        <v>0</v>
      </c>
      <c r="J243" s="37">
        <v>0</v>
      </c>
      <c r="K243" s="37">
        <v>0</v>
      </c>
      <c r="L243" s="37">
        <v>0</v>
      </c>
      <c r="M243" s="37">
        <f t="shared" si="145"/>
        <v>0</v>
      </c>
      <c r="N243" s="37">
        <v>0</v>
      </c>
      <c r="O243" s="37">
        <v>0</v>
      </c>
      <c r="P243" s="37">
        <v>0</v>
      </c>
      <c r="Q243" s="37">
        <v>0</v>
      </c>
      <c r="R243" s="37">
        <f t="shared" si="146"/>
        <v>0</v>
      </c>
      <c r="S243" s="37">
        <f t="shared" si="147"/>
        <v>0</v>
      </c>
      <c r="T243" s="37">
        <f t="shared" si="147"/>
        <v>0</v>
      </c>
      <c r="U243" s="37">
        <f t="shared" si="147"/>
        <v>0</v>
      </c>
      <c r="V243" s="37">
        <f t="shared" si="148"/>
        <v>0</v>
      </c>
      <c r="W243" s="38"/>
      <c r="X243" s="38"/>
      <c r="Y243" s="38"/>
      <c r="Z243" s="38"/>
      <c r="AA243" s="38"/>
    </row>
    <row r="244" spans="1:27" s="12" customFormat="1" ht="15.75" customHeight="1">
      <c r="A244" s="31" t="s">
        <v>86</v>
      </c>
      <c r="B244" s="32" t="s">
        <v>87</v>
      </c>
      <c r="C244" s="33">
        <f>+C245+C246</f>
        <v>14250</v>
      </c>
      <c r="D244" s="33">
        <f t="shared" ref="D244:V244" si="149">+D245+D246</f>
        <v>567</v>
      </c>
      <c r="E244" s="33">
        <f t="shared" si="149"/>
        <v>567</v>
      </c>
      <c r="F244" s="33">
        <f t="shared" si="149"/>
        <v>0</v>
      </c>
      <c r="G244" s="33">
        <f t="shared" si="149"/>
        <v>0</v>
      </c>
      <c r="H244" s="33">
        <f t="shared" si="149"/>
        <v>13683</v>
      </c>
      <c r="I244" s="33">
        <f t="shared" si="149"/>
        <v>6691</v>
      </c>
      <c r="J244" s="33">
        <f t="shared" si="149"/>
        <v>0</v>
      </c>
      <c r="K244" s="33">
        <f t="shared" si="149"/>
        <v>0</v>
      </c>
      <c r="L244" s="33">
        <f t="shared" si="149"/>
        <v>6992</v>
      </c>
      <c r="M244" s="33">
        <f t="shared" si="149"/>
        <v>4141</v>
      </c>
      <c r="N244" s="33">
        <f t="shared" si="149"/>
        <v>0</v>
      </c>
      <c r="O244" s="33">
        <f t="shared" si="149"/>
        <v>0</v>
      </c>
      <c r="P244" s="33">
        <f t="shared" si="149"/>
        <v>0</v>
      </c>
      <c r="Q244" s="33">
        <f t="shared" si="149"/>
        <v>4141</v>
      </c>
      <c r="R244" s="33">
        <f t="shared" si="149"/>
        <v>10109</v>
      </c>
      <c r="S244" s="33">
        <f t="shared" si="149"/>
        <v>7258</v>
      </c>
      <c r="T244" s="33">
        <f t="shared" si="149"/>
        <v>0</v>
      </c>
      <c r="U244" s="33">
        <f t="shared" si="149"/>
        <v>0</v>
      </c>
      <c r="V244" s="33">
        <f t="shared" si="149"/>
        <v>2851</v>
      </c>
      <c r="W244" s="34">
        <f>M244/C244</f>
        <v>0.29059649122807019</v>
      </c>
      <c r="X244" s="34">
        <f>N244/(E244+I244)</f>
        <v>0</v>
      </c>
      <c r="Y244" s="34"/>
      <c r="Z244" s="34"/>
      <c r="AA244" s="34">
        <f>Q244/L244</f>
        <v>0.59224828375286043</v>
      </c>
    </row>
    <row r="245" spans="1:27" ht="18.75" customHeight="1">
      <c r="A245" s="35" t="s">
        <v>45</v>
      </c>
      <c r="B245" s="36" t="s">
        <v>46</v>
      </c>
      <c r="C245" s="37">
        <f>+D245+H245</f>
        <v>8964</v>
      </c>
      <c r="D245" s="37">
        <f>SUM(E245:G245)</f>
        <v>567</v>
      </c>
      <c r="E245" s="37">
        <v>567</v>
      </c>
      <c r="F245" s="37">
        <v>0</v>
      </c>
      <c r="G245" s="37">
        <v>0</v>
      </c>
      <c r="H245" s="37">
        <f>SUM(I245:L245)</f>
        <v>8397</v>
      </c>
      <c r="I245" s="37">
        <v>1405</v>
      </c>
      <c r="J245" s="37">
        <v>0</v>
      </c>
      <c r="K245" s="37">
        <v>0</v>
      </c>
      <c r="L245" s="37">
        <v>6992</v>
      </c>
      <c r="M245" s="37">
        <f>SUM(N245:Q245)</f>
        <v>4141</v>
      </c>
      <c r="N245" s="37">
        <v>0</v>
      </c>
      <c r="O245" s="37">
        <v>0</v>
      </c>
      <c r="P245" s="37">
        <v>0</v>
      </c>
      <c r="Q245" s="37">
        <v>4141</v>
      </c>
      <c r="R245" s="37">
        <f>SUM(S245:V245)</f>
        <v>4823</v>
      </c>
      <c r="S245" s="37">
        <f>(E245+I245)-N245</f>
        <v>1972</v>
      </c>
      <c r="T245" s="37">
        <f>(F245+J245)-O245</f>
        <v>0</v>
      </c>
      <c r="U245" s="37">
        <f>(G245+K245)-P245</f>
        <v>0</v>
      </c>
      <c r="V245" s="37">
        <f>L245-Q245</f>
        <v>2851</v>
      </c>
      <c r="W245" s="38">
        <f t="shared" ref="W245:W260" si="150">M245/C245</f>
        <v>0.46195894689870592</v>
      </c>
      <c r="X245" s="38">
        <f t="shared" ref="X245:X260" si="151">N245/(E245+I245)</f>
        <v>0</v>
      </c>
      <c r="Y245" s="38"/>
      <c r="Z245" s="38"/>
      <c r="AA245" s="38">
        <f>Q245/L245</f>
        <v>0.59224828375286043</v>
      </c>
    </row>
    <row r="246" spans="1:27" ht="15.75" customHeight="1">
      <c r="A246" s="35" t="s">
        <v>45</v>
      </c>
      <c r="B246" s="36" t="s">
        <v>47</v>
      </c>
      <c r="C246" s="37">
        <f t="shared" ref="C246:V246" si="152">SUM(C247:C261)</f>
        <v>5286</v>
      </c>
      <c r="D246" s="37">
        <f t="shared" si="152"/>
        <v>0</v>
      </c>
      <c r="E246" s="37">
        <f t="shared" si="152"/>
        <v>0</v>
      </c>
      <c r="F246" s="37">
        <f t="shared" si="152"/>
        <v>0</v>
      </c>
      <c r="G246" s="37">
        <f t="shared" si="152"/>
        <v>0</v>
      </c>
      <c r="H246" s="37">
        <f t="shared" si="152"/>
        <v>5286</v>
      </c>
      <c r="I246" s="37">
        <f t="shared" si="152"/>
        <v>5286</v>
      </c>
      <c r="J246" s="37">
        <f t="shared" si="152"/>
        <v>0</v>
      </c>
      <c r="K246" s="37">
        <f t="shared" si="152"/>
        <v>0</v>
      </c>
      <c r="L246" s="37">
        <f t="shared" si="152"/>
        <v>0</v>
      </c>
      <c r="M246" s="37">
        <f t="shared" si="152"/>
        <v>0</v>
      </c>
      <c r="N246" s="37">
        <f t="shared" si="152"/>
        <v>0</v>
      </c>
      <c r="O246" s="37">
        <f t="shared" si="152"/>
        <v>0</v>
      </c>
      <c r="P246" s="37">
        <f t="shared" si="152"/>
        <v>0</v>
      </c>
      <c r="Q246" s="37">
        <f t="shared" si="152"/>
        <v>0</v>
      </c>
      <c r="R246" s="37">
        <f t="shared" si="152"/>
        <v>5286</v>
      </c>
      <c r="S246" s="37">
        <f t="shared" si="152"/>
        <v>5286</v>
      </c>
      <c r="T246" s="37">
        <f t="shared" si="152"/>
        <v>0</v>
      </c>
      <c r="U246" s="37">
        <f t="shared" si="152"/>
        <v>0</v>
      </c>
      <c r="V246" s="37">
        <f t="shared" si="152"/>
        <v>0</v>
      </c>
      <c r="W246" s="38">
        <f t="shared" si="150"/>
        <v>0</v>
      </c>
      <c r="X246" s="38">
        <f t="shared" si="151"/>
        <v>0</v>
      </c>
      <c r="Y246" s="38"/>
      <c r="Z246" s="38"/>
      <c r="AA246" s="38"/>
    </row>
    <row r="247" spans="1:27" ht="15.75" hidden="1" customHeight="1">
      <c r="A247" s="23" t="s">
        <v>48</v>
      </c>
      <c r="B247" s="24" t="s">
        <v>49</v>
      </c>
      <c r="C247" s="25">
        <f t="shared" ref="C247:C261" si="153">+D247+H247</f>
        <v>1760</v>
      </c>
      <c r="D247" s="25">
        <f t="shared" ref="D247:D261" si="154">SUM(E247:G247)</f>
        <v>0</v>
      </c>
      <c r="E247" s="25">
        <v>0</v>
      </c>
      <c r="F247" s="25">
        <v>0</v>
      </c>
      <c r="G247" s="25">
        <v>0</v>
      </c>
      <c r="H247" s="25">
        <f t="shared" ref="H247:H261" si="155">SUM(I247:L247)</f>
        <v>1760</v>
      </c>
      <c r="I247" s="25">
        <v>1760</v>
      </c>
      <c r="J247" s="25">
        <v>0</v>
      </c>
      <c r="K247" s="25">
        <v>0</v>
      </c>
      <c r="L247" s="25">
        <v>0</v>
      </c>
      <c r="M247" s="25">
        <f t="shared" ref="M247:M261" si="156">SUM(N247:Q247)</f>
        <v>0</v>
      </c>
      <c r="N247" s="25">
        <v>0</v>
      </c>
      <c r="O247" s="25">
        <v>0</v>
      </c>
      <c r="P247" s="25">
        <v>0</v>
      </c>
      <c r="Q247" s="25">
        <v>0</v>
      </c>
      <c r="R247" s="25">
        <f t="shared" ref="R247:R261" si="157">SUM(S247:V247)</f>
        <v>1760</v>
      </c>
      <c r="S247" s="25">
        <f t="shared" ref="S247:U261" si="158">(E247+I247)-N247</f>
        <v>1760</v>
      </c>
      <c r="T247" s="25">
        <f t="shared" si="158"/>
        <v>0</v>
      </c>
      <c r="U247" s="25">
        <f t="shared" si="158"/>
        <v>0</v>
      </c>
      <c r="V247" s="25">
        <f t="shared" ref="V247:V261" si="159">L247-Q247</f>
        <v>0</v>
      </c>
      <c r="W247" s="26">
        <f t="shared" si="150"/>
        <v>0</v>
      </c>
      <c r="X247" s="26">
        <f t="shared" si="151"/>
        <v>0</v>
      </c>
      <c r="Y247" s="26"/>
      <c r="Z247" s="26"/>
      <c r="AA247" s="26"/>
    </row>
    <row r="248" spans="1:27" ht="15.75" hidden="1" customHeight="1">
      <c r="A248" s="13" t="s">
        <v>48</v>
      </c>
      <c r="B248" s="14" t="s">
        <v>50</v>
      </c>
      <c r="C248" s="15">
        <f t="shared" si="153"/>
        <v>990</v>
      </c>
      <c r="D248" s="15">
        <f t="shared" si="154"/>
        <v>0</v>
      </c>
      <c r="E248" s="15">
        <v>0</v>
      </c>
      <c r="F248" s="15">
        <v>0</v>
      </c>
      <c r="G248" s="15">
        <v>0</v>
      </c>
      <c r="H248" s="15">
        <f t="shared" si="155"/>
        <v>990</v>
      </c>
      <c r="I248" s="15">
        <v>990</v>
      </c>
      <c r="J248" s="15">
        <v>0</v>
      </c>
      <c r="K248" s="15">
        <v>0</v>
      </c>
      <c r="L248" s="15">
        <v>0</v>
      </c>
      <c r="M248" s="15">
        <f t="shared" si="156"/>
        <v>0</v>
      </c>
      <c r="N248" s="15">
        <v>0</v>
      </c>
      <c r="O248" s="15">
        <v>0</v>
      </c>
      <c r="P248" s="15">
        <v>0</v>
      </c>
      <c r="Q248" s="15">
        <v>0</v>
      </c>
      <c r="R248" s="15">
        <f t="shared" si="157"/>
        <v>990</v>
      </c>
      <c r="S248" s="15">
        <f t="shared" si="158"/>
        <v>990</v>
      </c>
      <c r="T248" s="15">
        <f t="shared" si="158"/>
        <v>0</v>
      </c>
      <c r="U248" s="15">
        <f t="shared" si="158"/>
        <v>0</v>
      </c>
      <c r="V248" s="15">
        <f t="shared" si="159"/>
        <v>0</v>
      </c>
      <c r="W248" s="16">
        <f t="shared" si="150"/>
        <v>0</v>
      </c>
      <c r="X248" s="16">
        <f t="shared" si="151"/>
        <v>0</v>
      </c>
      <c r="Y248" s="16"/>
      <c r="Z248" s="16"/>
      <c r="AA248" s="16"/>
    </row>
    <row r="249" spans="1:27" ht="15.75" hidden="1" customHeight="1">
      <c r="A249" s="13" t="s">
        <v>48</v>
      </c>
      <c r="B249" s="14" t="s">
        <v>51</v>
      </c>
      <c r="C249" s="15">
        <f t="shared" si="153"/>
        <v>165</v>
      </c>
      <c r="D249" s="15">
        <f t="shared" si="154"/>
        <v>0</v>
      </c>
      <c r="E249" s="15">
        <v>0</v>
      </c>
      <c r="F249" s="15">
        <v>0</v>
      </c>
      <c r="G249" s="15">
        <v>0</v>
      </c>
      <c r="H249" s="15">
        <f t="shared" si="155"/>
        <v>165</v>
      </c>
      <c r="I249" s="15">
        <v>165</v>
      </c>
      <c r="J249" s="15">
        <v>0</v>
      </c>
      <c r="K249" s="15">
        <v>0</v>
      </c>
      <c r="L249" s="15">
        <v>0</v>
      </c>
      <c r="M249" s="15">
        <f t="shared" si="156"/>
        <v>0</v>
      </c>
      <c r="N249" s="15">
        <v>0</v>
      </c>
      <c r="O249" s="15">
        <v>0</v>
      </c>
      <c r="P249" s="15">
        <v>0</v>
      </c>
      <c r="Q249" s="15">
        <v>0</v>
      </c>
      <c r="R249" s="15">
        <f t="shared" si="157"/>
        <v>165</v>
      </c>
      <c r="S249" s="15">
        <f t="shared" si="158"/>
        <v>165</v>
      </c>
      <c r="T249" s="15">
        <f t="shared" si="158"/>
        <v>0</v>
      </c>
      <c r="U249" s="15">
        <f t="shared" si="158"/>
        <v>0</v>
      </c>
      <c r="V249" s="15">
        <f t="shared" si="159"/>
        <v>0</v>
      </c>
      <c r="W249" s="16">
        <f t="shared" si="150"/>
        <v>0</v>
      </c>
      <c r="X249" s="16">
        <f t="shared" si="151"/>
        <v>0</v>
      </c>
      <c r="Y249" s="16"/>
      <c r="Z249" s="16"/>
      <c r="AA249" s="16"/>
    </row>
    <row r="250" spans="1:27" ht="24" hidden="1" customHeight="1">
      <c r="A250" s="13" t="s">
        <v>48</v>
      </c>
      <c r="B250" s="14" t="s">
        <v>52</v>
      </c>
      <c r="C250" s="15">
        <f t="shared" si="153"/>
        <v>165</v>
      </c>
      <c r="D250" s="15">
        <f t="shared" si="154"/>
        <v>0</v>
      </c>
      <c r="E250" s="15">
        <v>0</v>
      </c>
      <c r="F250" s="15">
        <v>0</v>
      </c>
      <c r="G250" s="15">
        <v>0</v>
      </c>
      <c r="H250" s="15">
        <f t="shared" si="155"/>
        <v>165</v>
      </c>
      <c r="I250" s="15">
        <v>165</v>
      </c>
      <c r="J250" s="15">
        <v>0</v>
      </c>
      <c r="K250" s="15">
        <v>0</v>
      </c>
      <c r="L250" s="15">
        <v>0</v>
      </c>
      <c r="M250" s="15">
        <f t="shared" si="156"/>
        <v>0</v>
      </c>
      <c r="N250" s="15">
        <v>0</v>
      </c>
      <c r="O250" s="15">
        <v>0</v>
      </c>
      <c r="P250" s="15">
        <v>0</v>
      </c>
      <c r="Q250" s="15">
        <v>0</v>
      </c>
      <c r="R250" s="15">
        <f t="shared" si="157"/>
        <v>165</v>
      </c>
      <c r="S250" s="15">
        <f t="shared" si="158"/>
        <v>165</v>
      </c>
      <c r="T250" s="15">
        <f t="shared" si="158"/>
        <v>0</v>
      </c>
      <c r="U250" s="15">
        <f t="shared" si="158"/>
        <v>0</v>
      </c>
      <c r="V250" s="15">
        <f t="shared" si="159"/>
        <v>0</v>
      </c>
      <c r="W250" s="16">
        <f t="shared" si="150"/>
        <v>0</v>
      </c>
      <c r="X250" s="16">
        <f t="shared" si="151"/>
        <v>0</v>
      </c>
      <c r="Y250" s="16"/>
      <c r="Z250" s="16"/>
      <c r="AA250" s="16"/>
    </row>
    <row r="251" spans="1:27" ht="25.5" hidden="1" customHeight="1">
      <c r="A251" s="13" t="s">
        <v>48</v>
      </c>
      <c r="B251" s="14" t="s">
        <v>53</v>
      </c>
      <c r="C251" s="15">
        <f t="shared" si="153"/>
        <v>0</v>
      </c>
      <c r="D251" s="15">
        <f t="shared" si="154"/>
        <v>0</v>
      </c>
      <c r="E251" s="15">
        <v>0</v>
      </c>
      <c r="F251" s="15">
        <v>0</v>
      </c>
      <c r="G251" s="15">
        <v>0</v>
      </c>
      <c r="H251" s="15">
        <f t="shared" si="155"/>
        <v>0</v>
      </c>
      <c r="I251" s="15">
        <v>0</v>
      </c>
      <c r="J251" s="15">
        <v>0</v>
      </c>
      <c r="K251" s="15">
        <v>0</v>
      </c>
      <c r="L251" s="15">
        <v>0</v>
      </c>
      <c r="M251" s="15">
        <f t="shared" si="156"/>
        <v>0</v>
      </c>
      <c r="N251" s="15">
        <v>0</v>
      </c>
      <c r="O251" s="15">
        <v>0</v>
      </c>
      <c r="P251" s="15">
        <v>0</v>
      </c>
      <c r="Q251" s="15">
        <v>0</v>
      </c>
      <c r="R251" s="15">
        <f t="shared" si="157"/>
        <v>0</v>
      </c>
      <c r="S251" s="15">
        <f t="shared" si="158"/>
        <v>0</v>
      </c>
      <c r="T251" s="15">
        <f t="shared" si="158"/>
        <v>0</v>
      </c>
      <c r="U251" s="15">
        <f t="shared" si="158"/>
        <v>0</v>
      </c>
      <c r="V251" s="15">
        <f t="shared" si="159"/>
        <v>0</v>
      </c>
      <c r="W251" s="16"/>
      <c r="X251" s="16"/>
      <c r="Y251" s="16"/>
      <c r="Z251" s="16"/>
      <c r="AA251" s="16"/>
    </row>
    <row r="252" spans="1:27" ht="26.25" hidden="1" customHeight="1">
      <c r="A252" s="13" t="s">
        <v>48</v>
      </c>
      <c r="B252" s="14" t="s">
        <v>54</v>
      </c>
      <c r="C252" s="15">
        <f t="shared" si="153"/>
        <v>0</v>
      </c>
      <c r="D252" s="15">
        <f t="shared" si="154"/>
        <v>0</v>
      </c>
      <c r="E252" s="15">
        <v>0</v>
      </c>
      <c r="F252" s="15">
        <v>0</v>
      </c>
      <c r="G252" s="15">
        <v>0</v>
      </c>
      <c r="H252" s="15">
        <f t="shared" si="155"/>
        <v>0</v>
      </c>
      <c r="I252" s="15">
        <v>0</v>
      </c>
      <c r="J252" s="15">
        <v>0</v>
      </c>
      <c r="K252" s="15">
        <v>0</v>
      </c>
      <c r="L252" s="15">
        <v>0</v>
      </c>
      <c r="M252" s="15">
        <f t="shared" si="156"/>
        <v>0</v>
      </c>
      <c r="N252" s="15">
        <v>0</v>
      </c>
      <c r="O252" s="15">
        <v>0</v>
      </c>
      <c r="P252" s="15">
        <v>0</v>
      </c>
      <c r="Q252" s="15">
        <v>0</v>
      </c>
      <c r="R252" s="15">
        <f t="shared" si="157"/>
        <v>0</v>
      </c>
      <c r="S252" s="15">
        <f t="shared" si="158"/>
        <v>0</v>
      </c>
      <c r="T252" s="15">
        <f t="shared" si="158"/>
        <v>0</v>
      </c>
      <c r="U252" s="15">
        <f t="shared" si="158"/>
        <v>0</v>
      </c>
      <c r="V252" s="15">
        <f t="shared" si="159"/>
        <v>0</v>
      </c>
      <c r="W252" s="16"/>
      <c r="X252" s="16"/>
      <c r="Y252" s="16"/>
      <c r="Z252" s="16"/>
      <c r="AA252" s="16"/>
    </row>
    <row r="253" spans="1:27" ht="20.25" hidden="1" customHeight="1">
      <c r="A253" s="13" t="s">
        <v>48</v>
      </c>
      <c r="B253" s="14" t="s">
        <v>55</v>
      </c>
      <c r="C253" s="15">
        <f t="shared" si="153"/>
        <v>220</v>
      </c>
      <c r="D253" s="15">
        <f t="shared" si="154"/>
        <v>0</v>
      </c>
      <c r="E253" s="15">
        <v>0</v>
      </c>
      <c r="F253" s="15">
        <v>0</v>
      </c>
      <c r="G253" s="15">
        <v>0</v>
      </c>
      <c r="H253" s="15">
        <f t="shared" si="155"/>
        <v>220</v>
      </c>
      <c r="I253" s="15">
        <v>220</v>
      </c>
      <c r="J253" s="15">
        <v>0</v>
      </c>
      <c r="K253" s="15">
        <v>0</v>
      </c>
      <c r="L253" s="15">
        <v>0</v>
      </c>
      <c r="M253" s="15">
        <f t="shared" si="156"/>
        <v>0</v>
      </c>
      <c r="N253" s="15">
        <v>0</v>
      </c>
      <c r="O253" s="15">
        <v>0</v>
      </c>
      <c r="P253" s="15">
        <v>0</v>
      </c>
      <c r="Q253" s="15">
        <v>0</v>
      </c>
      <c r="R253" s="15">
        <f t="shared" si="157"/>
        <v>220</v>
      </c>
      <c r="S253" s="15">
        <f t="shared" si="158"/>
        <v>220</v>
      </c>
      <c r="T253" s="15">
        <f t="shared" si="158"/>
        <v>0</v>
      </c>
      <c r="U253" s="15">
        <f t="shared" si="158"/>
        <v>0</v>
      </c>
      <c r="V253" s="15">
        <f t="shared" si="159"/>
        <v>0</v>
      </c>
      <c r="W253" s="16">
        <f t="shared" si="150"/>
        <v>0</v>
      </c>
      <c r="X253" s="16">
        <f t="shared" si="151"/>
        <v>0</v>
      </c>
      <c r="Y253" s="16"/>
      <c r="Z253" s="16"/>
      <c r="AA253" s="16"/>
    </row>
    <row r="254" spans="1:27" ht="15.75" hidden="1" customHeight="1">
      <c r="A254" s="13" t="s">
        <v>48</v>
      </c>
      <c r="B254" s="14" t="s">
        <v>56</v>
      </c>
      <c r="C254" s="15">
        <f t="shared" si="153"/>
        <v>660</v>
      </c>
      <c r="D254" s="15">
        <f t="shared" si="154"/>
        <v>0</v>
      </c>
      <c r="E254" s="15">
        <v>0</v>
      </c>
      <c r="F254" s="15">
        <v>0</v>
      </c>
      <c r="G254" s="15">
        <v>0</v>
      </c>
      <c r="H254" s="15">
        <f t="shared" si="155"/>
        <v>660</v>
      </c>
      <c r="I254" s="15">
        <v>660</v>
      </c>
      <c r="J254" s="15">
        <v>0</v>
      </c>
      <c r="K254" s="15">
        <v>0</v>
      </c>
      <c r="L254" s="15">
        <v>0</v>
      </c>
      <c r="M254" s="15">
        <f t="shared" si="156"/>
        <v>0</v>
      </c>
      <c r="N254" s="15">
        <v>0</v>
      </c>
      <c r="O254" s="15">
        <v>0</v>
      </c>
      <c r="P254" s="15">
        <v>0</v>
      </c>
      <c r="Q254" s="15">
        <v>0</v>
      </c>
      <c r="R254" s="15">
        <f t="shared" si="157"/>
        <v>660</v>
      </c>
      <c r="S254" s="15">
        <f t="shared" si="158"/>
        <v>660</v>
      </c>
      <c r="T254" s="15">
        <f t="shared" si="158"/>
        <v>0</v>
      </c>
      <c r="U254" s="15">
        <f t="shared" si="158"/>
        <v>0</v>
      </c>
      <c r="V254" s="15">
        <f t="shared" si="159"/>
        <v>0</v>
      </c>
      <c r="W254" s="16">
        <f t="shared" si="150"/>
        <v>0</v>
      </c>
      <c r="X254" s="16">
        <f t="shared" si="151"/>
        <v>0</v>
      </c>
      <c r="Y254" s="16"/>
      <c r="Z254" s="16"/>
      <c r="AA254" s="16"/>
    </row>
    <row r="255" spans="1:27" ht="15.75" hidden="1" customHeight="1">
      <c r="A255" s="13" t="s">
        <v>48</v>
      </c>
      <c r="B255" s="14" t="s">
        <v>57</v>
      </c>
      <c r="C255" s="15">
        <f t="shared" si="153"/>
        <v>308</v>
      </c>
      <c r="D255" s="15">
        <f t="shared" si="154"/>
        <v>0</v>
      </c>
      <c r="E255" s="15">
        <v>0</v>
      </c>
      <c r="F255" s="15">
        <v>0</v>
      </c>
      <c r="G255" s="15">
        <v>0</v>
      </c>
      <c r="H255" s="15">
        <f t="shared" si="155"/>
        <v>308</v>
      </c>
      <c r="I255" s="15">
        <v>308</v>
      </c>
      <c r="J255" s="15">
        <v>0</v>
      </c>
      <c r="K255" s="15">
        <v>0</v>
      </c>
      <c r="L255" s="15">
        <v>0</v>
      </c>
      <c r="M255" s="15">
        <f t="shared" si="156"/>
        <v>0</v>
      </c>
      <c r="N255" s="15">
        <v>0</v>
      </c>
      <c r="O255" s="15">
        <v>0</v>
      </c>
      <c r="P255" s="15">
        <v>0</v>
      </c>
      <c r="Q255" s="15">
        <v>0</v>
      </c>
      <c r="R255" s="15">
        <f t="shared" si="157"/>
        <v>308</v>
      </c>
      <c r="S255" s="15">
        <f t="shared" si="158"/>
        <v>308</v>
      </c>
      <c r="T255" s="15">
        <f t="shared" si="158"/>
        <v>0</v>
      </c>
      <c r="U255" s="15">
        <f t="shared" si="158"/>
        <v>0</v>
      </c>
      <c r="V255" s="15">
        <f t="shared" si="159"/>
        <v>0</v>
      </c>
      <c r="W255" s="16">
        <f t="shared" si="150"/>
        <v>0</v>
      </c>
      <c r="X255" s="16">
        <f t="shared" si="151"/>
        <v>0</v>
      </c>
      <c r="Y255" s="16"/>
      <c r="Z255" s="16"/>
      <c r="AA255" s="16"/>
    </row>
    <row r="256" spans="1:27" ht="15.75" hidden="1" customHeight="1">
      <c r="A256" s="13" t="s">
        <v>48</v>
      </c>
      <c r="B256" s="14" t="s">
        <v>58</v>
      </c>
      <c r="C256" s="15">
        <f t="shared" si="153"/>
        <v>300</v>
      </c>
      <c r="D256" s="15">
        <f t="shared" si="154"/>
        <v>0</v>
      </c>
      <c r="E256" s="15">
        <v>0</v>
      </c>
      <c r="F256" s="15">
        <v>0</v>
      </c>
      <c r="G256" s="15">
        <v>0</v>
      </c>
      <c r="H256" s="15">
        <f t="shared" si="155"/>
        <v>300</v>
      </c>
      <c r="I256" s="15">
        <v>300</v>
      </c>
      <c r="J256" s="15">
        <v>0</v>
      </c>
      <c r="K256" s="15">
        <v>0</v>
      </c>
      <c r="L256" s="15">
        <v>0</v>
      </c>
      <c r="M256" s="15">
        <f t="shared" si="156"/>
        <v>0</v>
      </c>
      <c r="N256" s="15">
        <v>0</v>
      </c>
      <c r="O256" s="15">
        <v>0</v>
      </c>
      <c r="P256" s="15">
        <v>0</v>
      </c>
      <c r="Q256" s="15">
        <v>0</v>
      </c>
      <c r="R256" s="15">
        <f t="shared" si="157"/>
        <v>300</v>
      </c>
      <c r="S256" s="15">
        <f t="shared" si="158"/>
        <v>300</v>
      </c>
      <c r="T256" s="15">
        <f t="shared" si="158"/>
        <v>0</v>
      </c>
      <c r="U256" s="15">
        <f t="shared" si="158"/>
        <v>0</v>
      </c>
      <c r="V256" s="15">
        <f t="shared" si="159"/>
        <v>0</v>
      </c>
      <c r="W256" s="16">
        <f t="shared" si="150"/>
        <v>0</v>
      </c>
      <c r="X256" s="16">
        <f t="shared" si="151"/>
        <v>0</v>
      </c>
      <c r="Y256" s="16"/>
      <c r="Z256" s="16"/>
      <c r="AA256" s="16"/>
    </row>
    <row r="257" spans="1:27" ht="15.75" hidden="1" customHeight="1">
      <c r="A257" s="13" t="s">
        <v>48</v>
      </c>
      <c r="B257" s="14" t="s">
        <v>59</v>
      </c>
      <c r="C257" s="15">
        <f t="shared" si="153"/>
        <v>300</v>
      </c>
      <c r="D257" s="15">
        <f t="shared" si="154"/>
        <v>0</v>
      </c>
      <c r="E257" s="15">
        <v>0</v>
      </c>
      <c r="F257" s="15">
        <v>0</v>
      </c>
      <c r="G257" s="15">
        <v>0</v>
      </c>
      <c r="H257" s="15">
        <f t="shared" si="155"/>
        <v>300</v>
      </c>
      <c r="I257" s="15">
        <v>300</v>
      </c>
      <c r="J257" s="15">
        <v>0</v>
      </c>
      <c r="K257" s="15">
        <v>0</v>
      </c>
      <c r="L257" s="15">
        <v>0</v>
      </c>
      <c r="M257" s="15">
        <f t="shared" si="156"/>
        <v>0</v>
      </c>
      <c r="N257" s="15">
        <v>0</v>
      </c>
      <c r="O257" s="15">
        <v>0</v>
      </c>
      <c r="P257" s="15">
        <v>0</v>
      </c>
      <c r="Q257" s="15">
        <v>0</v>
      </c>
      <c r="R257" s="15">
        <f t="shared" si="157"/>
        <v>300</v>
      </c>
      <c r="S257" s="15">
        <f t="shared" si="158"/>
        <v>300</v>
      </c>
      <c r="T257" s="15">
        <f t="shared" si="158"/>
        <v>0</v>
      </c>
      <c r="U257" s="15">
        <f t="shared" si="158"/>
        <v>0</v>
      </c>
      <c r="V257" s="15">
        <f t="shared" si="159"/>
        <v>0</v>
      </c>
      <c r="W257" s="16">
        <f t="shared" si="150"/>
        <v>0</v>
      </c>
      <c r="X257" s="16">
        <f t="shared" si="151"/>
        <v>0</v>
      </c>
      <c r="Y257" s="16"/>
      <c r="Z257" s="16"/>
      <c r="AA257" s="16"/>
    </row>
    <row r="258" spans="1:27" ht="15.75" hidden="1" customHeight="1">
      <c r="A258" s="13" t="s">
        <v>48</v>
      </c>
      <c r="B258" s="14" t="s">
        <v>60</v>
      </c>
      <c r="C258" s="15">
        <f t="shared" si="153"/>
        <v>0</v>
      </c>
      <c r="D258" s="15">
        <f t="shared" si="154"/>
        <v>0</v>
      </c>
      <c r="E258" s="15">
        <v>0</v>
      </c>
      <c r="F258" s="15">
        <v>0</v>
      </c>
      <c r="G258" s="15">
        <v>0</v>
      </c>
      <c r="H258" s="15">
        <f t="shared" si="155"/>
        <v>0</v>
      </c>
      <c r="I258" s="15">
        <v>0</v>
      </c>
      <c r="J258" s="15">
        <v>0</v>
      </c>
      <c r="K258" s="15">
        <v>0</v>
      </c>
      <c r="L258" s="15">
        <v>0</v>
      </c>
      <c r="M258" s="15">
        <f t="shared" si="156"/>
        <v>0</v>
      </c>
      <c r="N258" s="15">
        <v>0</v>
      </c>
      <c r="O258" s="15">
        <v>0</v>
      </c>
      <c r="P258" s="15">
        <v>0</v>
      </c>
      <c r="Q258" s="15">
        <v>0</v>
      </c>
      <c r="R258" s="15">
        <f t="shared" si="157"/>
        <v>0</v>
      </c>
      <c r="S258" s="15">
        <f t="shared" si="158"/>
        <v>0</v>
      </c>
      <c r="T258" s="15">
        <f t="shared" si="158"/>
        <v>0</v>
      </c>
      <c r="U258" s="15">
        <f t="shared" si="158"/>
        <v>0</v>
      </c>
      <c r="V258" s="15">
        <f t="shared" si="159"/>
        <v>0</v>
      </c>
      <c r="W258" s="16"/>
      <c r="X258" s="16"/>
      <c r="Y258" s="16"/>
      <c r="Z258" s="16"/>
      <c r="AA258" s="16"/>
    </row>
    <row r="259" spans="1:27" ht="21" hidden="1">
      <c r="A259" s="13" t="s">
        <v>48</v>
      </c>
      <c r="B259" s="14" t="s">
        <v>61</v>
      </c>
      <c r="C259" s="15">
        <f t="shared" si="153"/>
        <v>0</v>
      </c>
      <c r="D259" s="15">
        <f t="shared" si="154"/>
        <v>0</v>
      </c>
      <c r="E259" s="15">
        <v>0</v>
      </c>
      <c r="F259" s="15">
        <v>0</v>
      </c>
      <c r="G259" s="15">
        <v>0</v>
      </c>
      <c r="H259" s="15">
        <f t="shared" si="155"/>
        <v>0</v>
      </c>
      <c r="I259" s="15">
        <v>0</v>
      </c>
      <c r="J259" s="15">
        <v>0</v>
      </c>
      <c r="K259" s="15">
        <v>0</v>
      </c>
      <c r="L259" s="15">
        <v>0</v>
      </c>
      <c r="M259" s="15">
        <f t="shared" si="156"/>
        <v>0</v>
      </c>
      <c r="N259" s="15">
        <v>0</v>
      </c>
      <c r="O259" s="15">
        <v>0</v>
      </c>
      <c r="P259" s="15">
        <v>0</v>
      </c>
      <c r="Q259" s="15">
        <v>0</v>
      </c>
      <c r="R259" s="15">
        <f t="shared" si="157"/>
        <v>0</v>
      </c>
      <c r="S259" s="15">
        <f t="shared" si="158"/>
        <v>0</v>
      </c>
      <c r="T259" s="15">
        <f t="shared" si="158"/>
        <v>0</v>
      </c>
      <c r="U259" s="15">
        <f t="shared" si="158"/>
        <v>0</v>
      </c>
      <c r="V259" s="15">
        <f t="shared" si="159"/>
        <v>0</v>
      </c>
      <c r="W259" s="16"/>
      <c r="X259" s="16"/>
      <c r="Y259" s="16"/>
      <c r="Z259" s="16"/>
      <c r="AA259" s="16"/>
    </row>
    <row r="260" spans="1:27" ht="18.75" hidden="1" customHeight="1">
      <c r="A260" s="13" t="s">
        <v>48</v>
      </c>
      <c r="B260" s="14" t="s">
        <v>62</v>
      </c>
      <c r="C260" s="15">
        <f t="shared" si="153"/>
        <v>418</v>
      </c>
      <c r="D260" s="15">
        <f t="shared" si="154"/>
        <v>0</v>
      </c>
      <c r="E260" s="15">
        <v>0</v>
      </c>
      <c r="F260" s="15">
        <v>0</v>
      </c>
      <c r="G260" s="15">
        <v>0</v>
      </c>
      <c r="H260" s="15">
        <f t="shared" si="155"/>
        <v>418</v>
      </c>
      <c r="I260" s="15">
        <v>418</v>
      </c>
      <c r="J260" s="15">
        <v>0</v>
      </c>
      <c r="K260" s="15">
        <v>0</v>
      </c>
      <c r="L260" s="15">
        <v>0</v>
      </c>
      <c r="M260" s="15">
        <f t="shared" si="156"/>
        <v>0</v>
      </c>
      <c r="N260" s="15">
        <v>0</v>
      </c>
      <c r="O260" s="15">
        <v>0</v>
      </c>
      <c r="P260" s="15">
        <v>0</v>
      </c>
      <c r="Q260" s="15">
        <v>0</v>
      </c>
      <c r="R260" s="15">
        <f t="shared" si="157"/>
        <v>418</v>
      </c>
      <c r="S260" s="15">
        <f t="shared" si="158"/>
        <v>418</v>
      </c>
      <c r="T260" s="15">
        <f t="shared" si="158"/>
        <v>0</v>
      </c>
      <c r="U260" s="15">
        <f t="shared" si="158"/>
        <v>0</v>
      </c>
      <c r="V260" s="15">
        <f t="shared" si="159"/>
        <v>0</v>
      </c>
      <c r="W260" s="16">
        <f t="shared" si="150"/>
        <v>0</v>
      </c>
      <c r="X260" s="16">
        <f t="shared" si="151"/>
        <v>0</v>
      </c>
      <c r="Y260" s="16"/>
      <c r="Z260" s="16"/>
      <c r="AA260" s="16"/>
    </row>
    <row r="261" spans="1:27" ht="22.5" hidden="1" customHeight="1">
      <c r="A261" s="17" t="s">
        <v>48</v>
      </c>
      <c r="B261" s="18" t="s">
        <v>63</v>
      </c>
      <c r="C261" s="19">
        <f t="shared" si="153"/>
        <v>0</v>
      </c>
      <c r="D261" s="19">
        <f t="shared" si="154"/>
        <v>0</v>
      </c>
      <c r="E261" s="19">
        <v>0</v>
      </c>
      <c r="F261" s="19">
        <v>0</v>
      </c>
      <c r="G261" s="19">
        <v>0</v>
      </c>
      <c r="H261" s="19">
        <f t="shared" si="155"/>
        <v>0</v>
      </c>
      <c r="I261" s="19">
        <v>0</v>
      </c>
      <c r="J261" s="19">
        <v>0</v>
      </c>
      <c r="K261" s="19">
        <v>0</v>
      </c>
      <c r="L261" s="19">
        <v>0</v>
      </c>
      <c r="M261" s="19">
        <f t="shared" si="156"/>
        <v>0</v>
      </c>
      <c r="N261" s="19">
        <v>0</v>
      </c>
      <c r="O261" s="19">
        <v>0</v>
      </c>
      <c r="P261" s="19">
        <v>0</v>
      </c>
      <c r="Q261" s="19">
        <v>0</v>
      </c>
      <c r="R261" s="19">
        <f t="shared" si="157"/>
        <v>0</v>
      </c>
      <c r="S261" s="19">
        <f t="shared" si="158"/>
        <v>0</v>
      </c>
      <c r="T261" s="19">
        <f t="shared" si="158"/>
        <v>0</v>
      </c>
      <c r="U261" s="19">
        <f t="shared" si="158"/>
        <v>0</v>
      </c>
      <c r="V261" s="19">
        <f t="shared" si="159"/>
        <v>0</v>
      </c>
      <c r="W261" s="20"/>
      <c r="X261" s="20"/>
      <c r="Y261" s="20"/>
      <c r="Z261" s="20"/>
      <c r="AA261" s="20"/>
    </row>
  </sheetData>
  <autoFilter ref="A9:AG261">
    <filterColumn colId="0">
      <filters>
        <filter val="-"/>
        <filter val="I"/>
        <filter val="II"/>
        <filter val="III"/>
        <filter val="IV"/>
        <filter val="IX"/>
        <filter val="V"/>
        <filter val="VI"/>
        <filter val="VII"/>
        <filter val="VIII"/>
        <filter val="X"/>
        <filter val="XI"/>
        <filter val="XII"/>
        <filter val="XIII"/>
      </filters>
    </filterColumn>
  </autoFilter>
  <mergeCells count="20">
    <mergeCell ref="H7:H8"/>
    <mergeCell ref="I7:L7"/>
    <mergeCell ref="M7:M8"/>
    <mergeCell ref="N7:Q7"/>
    <mergeCell ref="A2:AA2"/>
    <mergeCell ref="A3:AA3"/>
    <mergeCell ref="X4:AA4"/>
    <mergeCell ref="A5:A8"/>
    <mergeCell ref="B5:B8"/>
    <mergeCell ref="C5:L5"/>
    <mergeCell ref="M5:Q6"/>
    <mergeCell ref="R5:V6"/>
    <mergeCell ref="W5:AA6"/>
    <mergeCell ref="C6:C8"/>
    <mergeCell ref="R7:R8"/>
    <mergeCell ref="S7:V7"/>
    <mergeCell ref="W7:W8"/>
    <mergeCell ref="X7:AA7"/>
    <mergeCell ref="D6:G7"/>
    <mergeCell ref="H6:L6"/>
  </mergeCells>
  <pageMargins left="0.25" right="0" top="0.5" bottom="0.5" header="0.25" footer="0.25"/>
  <pageSetup paperSize="9" scale="90" orientation="landscape"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8"/>
  <sheetViews>
    <sheetView zoomScale="85" zoomScaleNormal="85" workbookViewId="0">
      <pane xSplit="6" ySplit="3" topLeftCell="G10" activePane="bottomRight" state="frozen"/>
      <selection pane="topRight" activeCell="F1" sqref="F1"/>
      <selection pane="bottomLeft" activeCell="A4" sqref="A4"/>
      <selection pane="bottomRight" activeCell="G13" sqref="G13"/>
    </sheetView>
  </sheetViews>
  <sheetFormatPr defaultColWidth="17.296875" defaultRowHeight="22.5" customHeight="1"/>
  <cols>
    <col min="1" max="1" width="7.296875" style="95" customWidth="1"/>
    <col min="2" max="3" width="15.296875" style="73" customWidth="1"/>
    <col min="4" max="4" width="11.3984375" style="73" hidden="1" customWidth="1"/>
    <col min="5" max="5" width="9.59765625" style="73" hidden="1" customWidth="1"/>
    <col min="6" max="6" width="10.5" style="73" customWidth="1"/>
    <col min="7" max="7" width="14.69921875" style="95" customWidth="1"/>
    <col min="8" max="8" width="63" style="95" customWidth="1"/>
    <col min="9" max="9" width="9.3984375" style="95" customWidth="1"/>
    <col min="10" max="10" width="12.296875" style="95" customWidth="1"/>
    <col min="11" max="11" width="0" style="73" hidden="1" customWidth="1"/>
    <col min="12" max="16384" width="17.296875" style="73"/>
  </cols>
  <sheetData>
    <row r="1" spans="1:13" ht="32.25" customHeight="1">
      <c r="A1" s="507" t="s">
        <v>140</v>
      </c>
      <c r="B1" s="507"/>
      <c r="C1" s="507"/>
      <c r="D1" s="507"/>
      <c r="E1" s="507"/>
      <c r="F1" s="507"/>
      <c r="G1" s="507"/>
      <c r="H1" s="507"/>
      <c r="I1" s="507"/>
      <c r="J1" s="507"/>
    </row>
    <row r="2" spans="1:13" ht="35.5" customHeight="1">
      <c r="A2" s="508" t="s">
        <v>0</v>
      </c>
      <c r="B2" s="508" t="s">
        <v>22</v>
      </c>
      <c r="C2" s="514" t="s">
        <v>626</v>
      </c>
      <c r="D2" s="514" t="s">
        <v>104</v>
      </c>
      <c r="E2" s="514" t="s">
        <v>105</v>
      </c>
      <c r="F2" s="509" t="s">
        <v>106</v>
      </c>
      <c r="G2" s="510"/>
      <c r="H2" s="511"/>
      <c r="I2" s="512" t="s">
        <v>103</v>
      </c>
      <c r="J2" s="513"/>
    </row>
    <row r="3" spans="1:13" s="76" customFormat="1" ht="41" customHeight="1">
      <c r="A3" s="508"/>
      <c r="B3" s="508"/>
      <c r="C3" s="515"/>
      <c r="D3" s="515"/>
      <c r="E3" s="515"/>
      <c r="F3" s="74" t="s">
        <v>92</v>
      </c>
      <c r="G3" s="74" t="s">
        <v>93</v>
      </c>
      <c r="H3" s="74" t="s">
        <v>91</v>
      </c>
      <c r="I3" s="74" t="s">
        <v>1</v>
      </c>
      <c r="J3" s="75" t="s">
        <v>100</v>
      </c>
    </row>
    <row r="4" spans="1:13" s="76" customFormat="1" ht="24.5" customHeight="1">
      <c r="A4" s="77">
        <v>1</v>
      </c>
      <c r="B4" s="78" t="s">
        <v>11</v>
      </c>
      <c r="C4" s="474">
        <f>D4+E4</f>
        <v>57</v>
      </c>
      <c r="D4" s="79">
        <f t="shared" ref="D4:D17" si="0">I4-E4-F4</f>
        <v>23</v>
      </c>
      <c r="E4" s="80">
        <v>34</v>
      </c>
      <c r="F4" s="80">
        <v>49</v>
      </c>
      <c r="G4" s="81">
        <f>49/11</f>
        <v>4.4545454545454541</v>
      </c>
      <c r="H4" s="82" t="s">
        <v>127</v>
      </c>
      <c r="I4" s="80">
        <v>106</v>
      </c>
      <c r="J4" s="83"/>
      <c r="K4" s="76">
        <v>1</v>
      </c>
      <c r="M4" s="477"/>
    </row>
    <row r="5" spans="1:13" s="76" customFormat="1" ht="28">
      <c r="A5" s="77">
        <v>2</v>
      </c>
      <c r="B5" s="84" t="s">
        <v>12</v>
      </c>
      <c r="C5" s="474">
        <f t="shared" ref="C5:C16" si="1">D5+E5</f>
        <v>172</v>
      </c>
      <c r="D5" s="79">
        <f t="shared" si="0"/>
        <v>87</v>
      </c>
      <c r="E5" s="80">
        <v>85</v>
      </c>
      <c r="F5" s="80">
        <v>64</v>
      </c>
      <c r="G5" s="81">
        <f>F5/21</f>
        <v>3.0476190476190474</v>
      </c>
      <c r="H5" s="85" t="s">
        <v>614</v>
      </c>
      <c r="I5" s="80">
        <v>236</v>
      </c>
      <c r="J5" s="83"/>
      <c r="K5" s="76">
        <v>6</v>
      </c>
      <c r="M5" s="477"/>
    </row>
    <row r="6" spans="1:13" s="76" customFormat="1" ht="30" customHeight="1">
      <c r="A6" s="77">
        <v>3</v>
      </c>
      <c r="B6" s="84" t="s">
        <v>16</v>
      </c>
      <c r="C6" s="474">
        <f t="shared" si="1"/>
        <v>62</v>
      </c>
      <c r="D6" s="79">
        <f t="shared" si="0"/>
        <v>34</v>
      </c>
      <c r="E6" s="80">
        <v>28</v>
      </c>
      <c r="F6" s="80">
        <v>44</v>
      </c>
      <c r="G6" s="81">
        <f>F6/17</f>
        <v>2.5882352941176472</v>
      </c>
      <c r="H6" s="85" t="s">
        <v>121</v>
      </c>
      <c r="I6" s="80">
        <v>106</v>
      </c>
      <c r="J6" s="83"/>
      <c r="K6" s="76">
        <v>1</v>
      </c>
      <c r="M6" s="477"/>
    </row>
    <row r="7" spans="1:13" s="76" customFormat="1" ht="28">
      <c r="A7" s="77">
        <v>4</v>
      </c>
      <c r="B7" s="84" t="s">
        <v>18</v>
      </c>
      <c r="C7" s="474">
        <f t="shared" si="1"/>
        <v>342</v>
      </c>
      <c r="D7" s="79">
        <f t="shared" si="0"/>
        <v>82</v>
      </c>
      <c r="E7" s="80">
        <v>260</v>
      </c>
      <c r="F7" s="80">
        <v>51</v>
      </c>
      <c r="G7" s="81">
        <f>F7/21</f>
        <v>2.4285714285714284</v>
      </c>
      <c r="H7" s="82" t="s">
        <v>615</v>
      </c>
      <c r="I7" s="80">
        <v>393</v>
      </c>
      <c r="J7" s="83"/>
      <c r="K7" s="76">
        <v>7</v>
      </c>
      <c r="M7" s="477"/>
    </row>
    <row r="8" spans="1:13" s="76" customFormat="1" ht="32.25" customHeight="1">
      <c r="A8" s="77">
        <v>5</v>
      </c>
      <c r="B8" s="84" t="s">
        <v>19</v>
      </c>
      <c r="C8" s="474">
        <f t="shared" si="1"/>
        <v>231</v>
      </c>
      <c r="D8" s="79">
        <f t="shared" si="0"/>
        <v>78</v>
      </c>
      <c r="E8" s="80">
        <v>153</v>
      </c>
      <c r="F8" s="80">
        <v>71</v>
      </c>
      <c r="G8" s="81">
        <f>F8/30</f>
        <v>2.3666666666666667</v>
      </c>
      <c r="H8" s="86" t="s">
        <v>619</v>
      </c>
      <c r="I8" s="80">
        <v>302</v>
      </c>
      <c r="J8" s="83"/>
      <c r="K8" s="76">
        <v>5</v>
      </c>
      <c r="M8" s="477"/>
    </row>
    <row r="9" spans="1:13" s="76" customFormat="1" ht="28">
      <c r="A9" s="77">
        <v>6</v>
      </c>
      <c r="B9" s="84" t="s">
        <v>21</v>
      </c>
      <c r="C9" s="474">
        <f t="shared" si="1"/>
        <v>298</v>
      </c>
      <c r="D9" s="79">
        <f t="shared" si="0"/>
        <v>173</v>
      </c>
      <c r="E9" s="80">
        <v>125</v>
      </c>
      <c r="F9" s="80">
        <v>68</v>
      </c>
      <c r="G9" s="81">
        <f>F9/30</f>
        <v>2.2666666666666666</v>
      </c>
      <c r="H9" s="85" t="s">
        <v>123</v>
      </c>
      <c r="I9" s="80">
        <v>366</v>
      </c>
      <c r="J9" s="87"/>
      <c r="K9" s="76">
        <v>6</v>
      </c>
      <c r="M9" s="477"/>
    </row>
    <row r="10" spans="1:13" s="76" customFormat="1" ht="39.75" customHeight="1">
      <c r="A10" s="77">
        <v>7</v>
      </c>
      <c r="B10" s="84" t="s">
        <v>15</v>
      </c>
      <c r="C10" s="474">
        <f t="shared" si="1"/>
        <v>145</v>
      </c>
      <c r="D10" s="79">
        <f t="shared" si="0"/>
        <v>100</v>
      </c>
      <c r="E10" s="80">
        <v>45</v>
      </c>
      <c r="F10" s="80">
        <v>43</v>
      </c>
      <c r="G10" s="81">
        <f>F10/27</f>
        <v>1.5925925925925926</v>
      </c>
      <c r="H10" s="88" t="s">
        <v>616</v>
      </c>
      <c r="I10" s="80">
        <v>188</v>
      </c>
      <c r="J10" s="83"/>
      <c r="K10" s="76">
        <v>4</v>
      </c>
      <c r="M10" s="477"/>
    </row>
    <row r="11" spans="1:13" s="76" customFormat="1" ht="28">
      <c r="A11" s="77">
        <v>8</v>
      </c>
      <c r="B11" s="84" t="s">
        <v>17</v>
      </c>
      <c r="C11" s="474">
        <f t="shared" si="1"/>
        <v>853</v>
      </c>
      <c r="D11" s="79">
        <f t="shared" si="0"/>
        <v>274</v>
      </c>
      <c r="E11" s="80">
        <v>579</v>
      </c>
      <c r="F11" s="80">
        <v>37</v>
      </c>
      <c r="G11" s="81">
        <f>F11/25</f>
        <v>1.48</v>
      </c>
      <c r="H11" s="85" t="s">
        <v>107</v>
      </c>
      <c r="I11" s="80">
        <v>890</v>
      </c>
      <c r="J11" s="87"/>
      <c r="K11" s="76">
        <v>10</v>
      </c>
      <c r="M11" s="477"/>
    </row>
    <row r="12" spans="1:13" s="76" customFormat="1" ht="28">
      <c r="A12" s="77">
        <v>9</v>
      </c>
      <c r="B12" s="84" t="s">
        <v>14</v>
      </c>
      <c r="C12" s="474">
        <f t="shared" si="1"/>
        <v>80</v>
      </c>
      <c r="D12" s="79">
        <f t="shared" si="0"/>
        <v>46</v>
      </c>
      <c r="E12" s="80">
        <v>34</v>
      </c>
      <c r="F12" s="80">
        <v>14</v>
      </c>
      <c r="G12" s="81">
        <f>14/13</f>
        <v>1.0769230769230769</v>
      </c>
      <c r="H12" s="89" t="s">
        <v>618</v>
      </c>
      <c r="I12" s="80">
        <v>94</v>
      </c>
      <c r="J12" s="83"/>
      <c r="K12" s="76">
        <v>7</v>
      </c>
      <c r="M12" s="477"/>
    </row>
    <row r="13" spans="1:13" s="76" customFormat="1" ht="28">
      <c r="A13" s="77">
        <v>10</v>
      </c>
      <c r="B13" s="84" t="s">
        <v>13</v>
      </c>
      <c r="C13" s="474">
        <f t="shared" si="1"/>
        <v>516</v>
      </c>
      <c r="D13" s="79">
        <f t="shared" si="0"/>
        <v>65</v>
      </c>
      <c r="E13" s="80">
        <v>451</v>
      </c>
      <c r="F13" s="80">
        <v>23</v>
      </c>
      <c r="G13" s="81">
        <f>F13/22</f>
        <v>1.0454545454545454</v>
      </c>
      <c r="H13" s="82" t="s">
        <v>109</v>
      </c>
      <c r="I13" s="80">
        <v>539</v>
      </c>
      <c r="J13" s="83"/>
      <c r="K13" s="76">
        <v>9</v>
      </c>
      <c r="M13" s="477"/>
    </row>
    <row r="14" spans="1:13" s="76" customFormat="1" ht="29.25" customHeight="1">
      <c r="A14" s="77">
        <v>11</v>
      </c>
      <c r="B14" s="84" t="s">
        <v>24</v>
      </c>
      <c r="C14" s="474">
        <f t="shared" si="1"/>
        <v>45</v>
      </c>
      <c r="D14" s="79">
        <f t="shared" si="0"/>
        <v>42</v>
      </c>
      <c r="E14" s="80">
        <v>3</v>
      </c>
      <c r="F14" s="80">
        <v>3</v>
      </c>
      <c r="G14" s="81">
        <f>3/6</f>
        <v>0.5</v>
      </c>
      <c r="H14" s="85" t="s">
        <v>130</v>
      </c>
      <c r="I14" s="80">
        <v>48</v>
      </c>
      <c r="J14" s="83"/>
      <c r="K14" s="76">
        <v>5</v>
      </c>
      <c r="M14" s="477"/>
    </row>
    <row r="15" spans="1:13" s="76" customFormat="1" ht="33.75" customHeight="1">
      <c r="A15" s="77">
        <v>12</v>
      </c>
      <c r="B15" s="84" t="s">
        <v>10</v>
      </c>
      <c r="C15" s="474">
        <f t="shared" si="1"/>
        <v>22</v>
      </c>
      <c r="D15" s="79">
        <f t="shared" si="0"/>
        <v>11</v>
      </c>
      <c r="E15" s="80">
        <v>11</v>
      </c>
      <c r="F15" s="80">
        <v>2</v>
      </c>
      <c r="G15" s="81">
        <f>F15/6</f>
        <v>0.33333333333333331</v>
      </c>
      <c r="H15" s="85" t="s">
        <v>617</v>
      </c>
      <c r="I15" s="80">
        <v>24</v>
      </c>
      <c r="J15" s="83"/>
      <c r="K15" s="76">
        <v>4</v>
      </c>
      <c r="M15" s="477"/>
    </row>
    <row r="16" spans="1:13" s="76" customFormat="1" ht="18" customHeight="1">
      <c r="A16" s="77">
        <v>13</v>
      </c>
      <c r="B16" s="90" t="s">
        <v>20</v>
      </c>
      <c r="C16" s="474">
        <f t="shared" si="1"/>
        <v>11</v>
      </c>
      <c r="D16" s="79">
        <f t="shared" si="0"/>
        <v>1</v>
      </c>
      <c r="E16" s="80">
        <v>10</v>
      </c>
      <c r="F16" s="80">
        <v>0</v>
      </c>
      <c r="G16" s="81">
        <v>0</v>
      </c>
      <c r="H16" s="82" t="s">
        <v>131</v>
      </c>
      <c r="I16" s="80">
        <v>11</v>
      </c>
      <c r="J16" s="83"/>
      <c r="K16" s="76">
        <v>1</v>
      </c>
      <c r="M16" s="477"/>
    </row>
    <row r="17" spans="1:13" ht="29.25" customHeight="1">
      <c r="A17" s="503" t="s">
        <v>3</v>
      </c>
      <c r="B17" s="504"/>
      <c r="C17" s="475">
        <f>SUM(C4:C16)</f>
        <v>2834</v>
      </c>
      <c r="D17" s="91">
        <f t="shared" si="0"/>
        <v>1016</v>
      </c>
      <c r="E17" s="92">
        <f>SUM(E4:E16)</f>
        <v>1818</v>
      </c>
      <c r="F17" s="93">
        <f>SUM(F4:F16)</f>
        <v>469</v>
      </c>
      <c r="G17" s="94">
        <f>F17/230</f>
        <v>2.0391304347826087</v>
      </c>
      <c r="H17" s="94" t="s">
        <v>620</v>
      </c>
      <c r="I17" s="93">
        <f>SUM(I4:I16)</f>
        <v>3303</v>
      </c>
      <c r="J17" s="54"/>
      <c r="K17" s="93">
        <f>SUM(K4:K16)</f>
        <v>66</v>
      </c>
      <c r="M17" s="476"/>
    </row>
    <row r="18" spans="1:13" ht="33" customHeight="1">
      <c r="A18" s="505" t="s">
        <v>141</v>
      </c>
      <c r="B18" s="506"/>
      <c r="C18" s="506"/>
      <c r="D18" s="506"/>
      <c r="E18" s="506"/>
      <c r="F18" s="506"/>
      <c r="G18" s="506"/>
      <c r="H18" s="506"/>
      <c r="I18" s="506"/>
      <c r="J18" s="506"/>
    </row>
  </sheetData>
  <mergeCells count="10">
    <mergeCell ref="A17:B17"/>
    <mergeCell ref="A18:J18"/>
    <mergeCell ref="A1:J1"/>
    <mergeCell ref="A2:A3"/>
    <mergeCell ref="B2:B3"/>
    <mergeCell ref="F2:H2"/>
    <mergeCell ref="I2:J2"/>
    <mergeCell ref="D2:D3"/>
    <mergeCell ref="E2:E3"/>
    <mergeCell ref="C2:C3"/>
  </mergeCells>
  <pageMargins left="0.77" right="0.35" top="0.37" bottom="0.2" header="0.3"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8"/>
  <sheetViews>
    <sheetView workbookViewId="0">
      <selection activeCell="G10" sqref="G10"/>
    </sheetView>
  </sheetViews>
  <sheetFormatPr defaultColWidth="17.296875" defaultRowHeight="22.5" customHeight="1"/>
  <cols>
    <col min="1" max="1" width="6" style="124" customWidth="1"/>
    <col min="2" max="2" width="14.09765625" style="96" customWidth="1"/>
    <col min="3" max="3" width="10" style="96" customWidth="1"/>
    <col min="4" max="4" width="10.296875" style="96" hidden="1" customWidth="1"/>
    <col min="5" max="5" width="10.69921875" style="96" hidden="1" customWidth="1"/>
    <col min="6" max="6" width="11.796875" style="96" customWidth="1"/>
    <col min="7" max="7" width="11.09765625" style="124" customWidth="1"/>
    <col min="8" max="8" width="72.59765625" style="124" customWidth="1"/>
    <col min="9" max="9" width="10.59765625" style="124" customWidth="1"/>
    <col min="10" max="10" width="12.8984375" style="124" customWidth="1"/>
    <col min="11" max="16384" width="17.296875" style="96"/>
  </cols>
  <sheetData>
    <row r="1" spans="1:11" ht="30.75" customHeight="1">
      <c r="A1" s="520" t="s">
        <v>147</v>
      </c>
      <c r="B1" s="520"/>
      <c r="C1" s="520"/>
      <c r="D1" s="520"/>
      <c r="E1" s="520"/>
      <c r="F1" s="520"/>
      <c r="G1" s="520"/>
      <c r="H1" s="520"/>
      <c r="I1" s="520"/>
      <c r="J1" s="520"/>
    </row>
    <row r="2" spans="1:11" ht="33" customHeight="1">
      <c r="A2" s="521" t="s">
        <v>0</v>
      </c>
      <c r="B2" s="521" t="s">
        <v>90</v>
      </c>
      <c r="C2" s="525" t="s">
        <v>627</v>
      </c>
      <c r="D2" s="523" t="s">
        <v>104</v>
      </c>
      <c r="E2" s="523" t="s">
        <v>105</v>
      </c>
      <c r="F2" s="522" t="s">
        <v>106</v>
      </c>
      <c r="G2" s="522"/>
      <c r="H2" s="522"/>
      <c r="I2" s="517" t="s">
        <v>142</v>
      </c>
      <c r="J2" s="521"/>
    </row>
    <row r="3" spans="1:11" s="100" customFormat="1" ht="56.25" customHeight="1">
      <c r="A3" s="521"/>
      <c r="B3" s="521"/>
      <c r="C3" s="526"/>
      <c r="D3" s="524"/>
      <c r="E3" s="524"/>
      <c r="F3" s="97" t="s">
        <v>95</v>
      </c>
      <c r="G3" s="97" t="s">
        <v>96</v>
      </c>
      <c r="H3" s="97" t="s">
        <v>94</v>
      </c>
      <c r="I3" s="98" t="s">
        <v>1</v>
      </c>
      <c r="J3" s="99" t="s">
        <v>101</v>
      </c>
    </row>
    <row r="4" spans="1:11" s="100" customFormat="1" ht="18" customHeight="1">
      <c r="A4" s="101">
        <v>1</v>
      </c>
      <c r="B4" s="102" t="s">
        <v>21</v>
      </c>
      <c r="C4" s="478">
        <f>D4+E4</f>
        <v>126</v>
      </c>
      <c r="D4" s="103">
        <f t="shared" ref="D4:D16" si="0">I4-F4-E4</f>
        <v>70</v>
      </c>
      <c r="E4" s="104">
        <v>56</v>
      </c>
      <c r="F4" s="104">
        <v>56</v>
      </c>
      <c r="G4" s="105">
        <f>F4/30</f>
        <v>1.8666666666666667</v>
      </c>
      <c r="H4" s="106" t="s">
        <v>621</v>
      </c>
      <c r="I4" s="107">
        <v>182</v>
      </c>
      <c r="J4" s="108"/>
      <c r="K4" s="100">
        <v>2</v>
      </c>
    </row>
    <row r="5" spans="1:11" s="100" customFormat="1" ht="24.5" customHeight="1">
      <c r="A5" s="101">
        <v>2</v>
      </c>
      <c r="B5" s="102" t="s">
        <v>15</v>
      </c>
      <c r="C5" s="478">
        <f t="shared" ref="C5:C16" si="1">D5+E5</f>
        <v>52</v>
      </c>
      <c r="D5" s="103">
        <f t="shared" si="0"/>
        <v>26</v>
      </c>
      <c r="E5" s="104">
        <v>26</v>
      </c>
      <c r="F5" s="104">
        <v>34</v>
      </c>
      <c r="G5" s="105">
        <f>F5/27</f>
        <v>1.2592592592592593</v>
      </c>
      <c r="H5" s="109" t="s">
        <v>143</v>
      </c>
      <c r="I5" s="107">
        <v>86</v>
      </c>
      <c r="J5" s="110"/>
      <c r="K5" s="100">
        <v>7</v>
      </c>
    </row>
    <row r="6" spans="1:11" s="100" customFormat="1" ht="36.75" customHeight="1">
      <c r="A6" s="101">
        <v>3</v>
      </c>
      <c r="B6" s="102" t="s">
        <v>18</v>
      </c>
      <c r="C6" s="478">
        <f t="shared" si="1"/>
        <v>70</v>
      </c>
      <c r="D6" s="103">
        <f t="shared" si="0"/>
        <v>42</v>
      </c>
      <c r="E6" s="104">
        <v>28</v>
      </c>
      <c r="F6" s="104">
        <v>26</v>
      </c>
      <c r="G6" s="105">
        <f>F6/21</f>
        <v>1.2380952380952381</v>
      </c>
      <c r="H6" s="106" t="s">
        <v>117</v>
      </c>
      <c r="I6" s="107">
        <v>96</v>
      </c>
      <c r="J6" s="111"/>
      <c r="K6" s="100">
        <v>6</v>
      </c>
    </row>
    <row r="7" spans="1:11" s="100" customFormat="1" ht="25.5" customHeight="1">
      <c r="A7" s="101">
        <v>4</v>
      </c>
      <c r="B7" s="102" t="s">
        <v>11</v>
      </c>
      <c r="C7" s="478">
        <f t="shared" si="1"/>
        <v>48</v>
      </c>
      <c r="D7" s="103">
        <f t="shared" si="0"/>
        <v>34</v>
      </c>
      <c r="E7" s="104">
        <v>14</v>
      </c>
      <c r="F7" s="104">
        <v>13</v>
      </c>
      <c r="G7" s="105">
        <f>F7/11</f>
        <v>1.1818181818181819</v>
      </c>
      <c r="H7" s="106" t="s">
        <v>128</v>
      </c>
      <c r="I7" s="107">
        <v>61</v>
      </c>
      <c r="J7" s="112"/>
      <c r="K7" s="100">
        <v>5</v>
      </c>
    </row>
    <row r="8" spans="1:11" s="100" customFormat="1" ht="23" customHeight="1">
      <c r="A8" s="101">
        <v>5</v>
      </c>
      <c r="B8" s="102" t="s">
        <v>14</v>
      </c>
      <c r="C8" s="478">
        <f t="shared" si="1"/>
        <v>52</v>
      </c>
      <c r="D8" s="103">
        <f t="shared" si="0"/>
        <v>31</v>
      </c>
      <c r="E8" s="104">
        <v>21</v>
      </c>
      <c r="F8" s="104">
        <v>15</v>
      </c>
      <c r="G8" s="105">
        <f>F8/13</f>
        <v>1.1538461538461537</v>
      </c>
      <c r="H8" s="106" t="s">
        <v>119</v>
      </c>
      <c r="I8" s="107">
        <v>67</v>
      </c>
      <c r="J8" s="112"/>
      <c r="K8" s="100">
        <v>5</v>
      </c>
    </row>
    <row r="9" spans="1:11" s="100" customFormat="1" ht="40.5" customHeight="1">
      <c r="A9" s="101">
        <v>6</v>
      </c>
      <c r="B9" s="102" t="s">
        <v>16</v>
      </c>
      <c r="C9" s="478">
        <f t="shared" si="1"/>
        <v>61</v>
      </c>
      <c r="D9" s="103">
        <f t="shared" si="0"/>
        <v>29</v>
      </c>
      <c r="E9" s="104">
        <v>32</v>
      </c>
      <c r="F9" s="104">
        <v>19</v>
      </c>
      <c r="G9" s="105">
        <f>F9/17</f>
        <v>1.1176470588235294</v>
      </c>
      <c r="H9" s="106" t="s">
        <v>122</v>
      </c>
      <c r="I9" s="107">
        <v>80</v>
      </c>
      <c r="J9" s="112"/>
      <c r="K9" s="100">
        <v>7</v>
      </c>
    </row>
    <row r="10" spans="1:11" s="100" customFormat="1" ht="26">
      <c r="A10" s="101">
        <v>7</v>
      </c>
      <c r="B10" s="102" t="s">
        <v>19</v>
      </c>
      <c r="C10" s="478">
        <f t="shared" si="1"/>
        <v>119</v>
      </c>
      <c r="D10" s="103">
        <f t="shared" si="0"/>
        <v>64</v>
      </c>
      <c r="E10" s="104">
        <v>55</v>
      </c>
      <c r="F10" s="104">
        <v>30</v>
      </c>
      <c r="G10" s="105">
        <f>F10/30</f>
        <v>1</v>
      </c>
      <c r="H10" s="109" t="s">
        <v>115</v>
      </c>
      <c r="I10" s="107">
        <v>149</v>
      </c>
      <c r="J10" s="113"/>
      <c r="K10" s="100">
        <v>12</v>
      </c>
    </row>
    <row r="11" spans="1:11" s="100" customFormat="1" ht="34.5" customHeight="1">
      <c r="A11" s="101">
        <v>8</v>
      </c>
      <c r="B11" s="114" t="s">
        <v>17</v>
      </c>
      <c r="C11" s="478">
        <f t="shared" si="1"/>
        <v>116</v>
      </c>
      <c r="D11" s="103">
        <f t="shared" si="0"/>
        <v>82</v>
      </c>
      <c r="E11" s="115">
        <v>34</v>
      </c>
      <c r="F11" s="115">
        <v>23</v>
      </c>
      <c r="G11" s="105">
        <f>F11/25</f>
        <v>0.92</v>
      </c>
      <c r="H11" s="106" t="s">
        <v>622</v>
      </c>
      <c r="I11" s="107">
        <v>139</v>
      </c>
      <c r="J11" s="112"/>
      <c r="K11" s="100">
        <v>8</v>
      </c>
    </row>
    <row r="12" spans="1:11" s="100" customFormat="1" ht="36.5" customHeight="1">
      <c r="A12" s="101">
        <v>9</v>
      </c>
      <c r="B12" s="102" t="s">
        <v>13</v>
      </c>
      <c r="C12" s="478">
        <f t="shared" si="1"/>
        <v>81</v>
      </c>
      <c r="D12" s="103">
        <f t="shared" si="0"/>
        <v>49</v>
      </c>
      <c r="E12" s="104">
        <v>32</v>
      </c>
      <c r="F12" s="104">
        <v>20</v>
      </c>
      <c r="G12" s="105">
        <f>F12/22</f>
        <v>0.90909090909090906</v>
      </c>
      <c r="H12" s="109" t="s">
        <v>110</v>
      </c>
      <c r="I12" s="107">
        <v>101</v>
      </c>
      <c r="J12" s="112"/>
      <c r="K12" s="100">
        <v>12</v>
      </c>
    </row>
    <row r="13" spans="1:11" s="100" customFormat="1" ht="33.75" customHeight="1">
      <c r="A13" s="101">
        <v>10</v>
      </c>
      <c r="B13" s="102" t="s">
        <v>24</v>
      </c>
      <c r="C13" s="478">
        <f t="shared" si="1"/>
        <v>18</v>
      </c>
      <c r="D13" s="103">
        <f t="shared" si="0"/>
        <v>8</v>
      </c>
      <c r="E13" s="104">
        <v>10</v>
      </c>
      <c r="F13" s="104">
        <v>5</v>
      </c>
      <c r="G13" s="105">
        <f>5/6</f>
        <v>0.83333333333333337</v>
      </c>
      <c r="H13" s="116" t="s">
        <v>125</v>
      </c>
      <c r="I13" s="107">
        <v>23</v>
      </c>
      <c r="J13" s="112"/>
      <c r="K13" s="100">
        <v>3</v>
      </c>
    </row>
    <row r="14" spans="1:11" s="100" customFormat="1" ht="26">
      <c r="A14" s="101">
        <v>11</v>
      </c>
      <c r="B14" s="102" t="s">
        <v>12</v>
      </c>
      <c r="C14" s="478">
        <f t="shared" si="1"/>
        <v>88</v>
      </c>
      <c r="D14" s="103">
        <f t="shared" si="0"/>
        <v>58</v>
      </c>
      <c r="E14" s="104">
        <v>30</v>
      </c>
      <c r="F14" s="104">
        <v>15</v>
      </c>
      <c r="G14" s="105">
        <f>F14/21</f>
        <v>0.7142857142857143</v>
      </c>
      <c r="H14" s="106" t="s">
        <v>113</v>
      </c>
      <c r="I14" s="117">
        <v>103</v>
      </c>
      <c r="J14" s="112"/>
      <c r="K14" s="100">
        <v>13</v>
      </c>
    </row>
    <row r="15" spans="1:11" s="100" customFormat="1" ht="19" customHeight="1">
      <c r="A15" s="101">
        <v>12</v>
      </c>
      <c r="B15" s="102" t="s">
        <v>10</v>
      </c>
      <c r="C15" s="478">
        <f t="shared" si="1"/>
        <v>20</v>
      </c>
      <c r="D15" s="103">
        <f t="shared" si="0"/>
        <v>12</v>
      </c>
      <c r="E15" s="104">
        <v>8</v>
      </c>
      <c r="F15" s="104">
        <v>4</v>
      </c>
      <c r="G15" s="105">
        <f>F15/6</f>
        <v>0.66666666666666663</v>
      </c>
      <c r="H15" s="116" t="s">
        <v>133</v>
      </c>
      <c r="I15" s="117">
        <v>24</v>
      </c>
      <c r="J15" s="111"/>
      <c r="K15" s="100">
        <v>3</v>
      </c>
    </row>
    <row r="16" spans="1:11" s="100" customFormat="1" ht="25.5" customHeight="1">
      <c r="A16" s="101">
        <v>13</v>
      </c>
      <c r="B16" s="102" t="s">
        <v>20</v>
      </c>
      <c r="C16" s="478">
        <f t="shared" si="1"/>
        <v>6</v>
      </c>
      <c r="D16" s="103">
        <f t="shared" si="0"/>
        <v>6</v>
      </c>
      <c r="E16" s="104">
        <v>0</v>
      </c>
      <c r="F16" s="104">
        <v>0</v>
      </c>
      <c r="G16" s="105">
        <v>0</v>
      </c>
      <c r="H16" s="116" t="s">
        <v>131</v>
      </c>
      <c r="I16" s="117">
        <v>6</v>
      </c>
      <c r="J16" s="112"/>
      <c r="K16" s="100">
        <v>1</v>
      </c>
    </row>
    <row r="17" spans="1:17" ht="25.5" customHeight="1">
      <c r="A17" s="516" t="s">
        <v>3</v>
      </c>
      <c r="B17" s="517"/>
      <c r="C17" s="479">
        <f>SUM(C4:C16)</f>
        <v>857</v>
      </c>
      <c r="D17" s="118">
        <f>SUM(D4:D16)</f>
        <v>511</v>
      </c>
      <c r="E17" s="119">
        <f>SUM(E4:E16)</f>
        <v>346</v>
      </c>
      <c r="F17" s="119">
        <f>SUM(F4:F16)</f>
        <v>260</v>
      </c>
      <c r="G17" s="120">
        <f>F17/230</f>
        <v>1.1304347826086956</v>
      </c>
      <c r="H17" s="120" t="s">
        <v>623</v>
      </c>
      <c r="I17" s="121">
        <f>SUM(I4:I16)</f>
        <v>1117</v>
      </c>
      <c r="J17" s="122"/>
      <c r="K17" s="121">
        <f>SUM(K4:K16)</f>
        <v>84</v>
      </c>
    </row>
    <row r="18" spans="1:17" ht="25.5" customHeight="1">
      <c r="A18" s="518" t="s">
        <v>144</v>
      </c>
      <c r="B18" s="519"/>
      <c r="C18" s="519"/>
      <c r="D18" s="519"/>
      <c r="E18" s="519"/>
      <c r="F18" s="519"/>
      <c r="G18" s="519"/>
      <c r="H18" s="519"/>
      <c r="I18" s="519"/>
      <c r="J18" s="519"/>
      <c r="K18" s="123"/>
      <c r="L18" s="123"/>
      <c r="M18" s="123"/>
      <c r="N18" s="123"/>
      <c r="O18" s="123"/>
      <c r="P18" s="123"/>
      <c r="Q18" s="123"/>
    </row>
  </sheetData>
  <mergeCells count="10">
    <mergeCell ref="A17:B17"/>
    <mergeCell ref="A18:J18"/>
    <mergeCell ref="A1:J1"/>
    <mergeCell ref="A2:A3"/>
    <mergeCell ref="B2:B3"/>
    <mergeCell ref="F2:H2"/>
    <mergeCell ref="I2:J2"/>
    <mergeCell ref="D2:D3"/>
    <mergeCell ref="E2:E3"/>
    <mergeCell ref="C2:C3"/>
  </mergeCells>
  <pageMargins left="0.65" right="0.2" top="0.34"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
  <sheetViews>
    <sheetView workbookViewId="0">
      <pane xSplit="6" ySplit="3" topLeftCell="G13" activePane="bottomRight" state="frozen"/>
      <selection pane="topRight" activeCell="F1" sqref="F1"/>
      <selection pane="bottomLeft" activeCell="A4" sqref="A4"/>
      <selection pane="bottomRight" activeCell="F13" sqref="F13"/>
    </sheetView>
  </sheetViews>
  <sheetFormatPr defaultColWidth="17.296875" defaultRowHeight="12.5"/>
  <cols>
    <col min="1" max="1" width="6.59765625" style="124" customWidth="1"/>
    <col min="2" max="2" width="15.69921875" style="96" customWidth="1"/>
    <col min="3" max="3" width="14.19921875" style="96" customWidth="1"/>
    <col min="4" max="4" width="10.8984375" style="96" hidden="1" customWidth="1"/>
    <col min="5" max="5" width="12.59765625" style="96" hidden="1" customWidth="1"/>
    <col min="6" max="6" width="12.296875" style="96" customWidth="1"/>
    <col min="7" max="7" width="14.796875" style="124" customWidth="1"/>
    <col min="8" max="8" width="66.69921875" style="124" customWidth="1"/>
    <col min="9" max="9" width="9.296875" style="124" customWidth="1"/>
    <col min="10" max="10" width="13" style="124" customWidth="1"/>
    <col min="11" max="11" width="17.296875" style="96" customWidth="1"/>
    <col min="12" max="16384" width="17.296875" style="96"/>
  </cols>
  <sheetData>
    <row r="1" spans="1:11" ht="21.75" customHeight="1">
      <c r="A1" s="529" t="s">
        <v>148</v>
      </c>
      <c r="B1" s="529"/>
      <c r="C1" s="529"/>
      <c r="D1" s="529"/>
      <c r="E1" s="529"/>
      <c r="F1" s="529"/>
      <c r="G1" s="529"/>
      <c r="H1" s="529"/>
      <c r="I1" s="529"/>
      <c r="J1" s="529"/>
    </row>
    <row r="2" spans="1:11" ht="35" customHeight="1">
      <c r="A2" s="521" t="s">
        <v>0</v>
      </c>
      <c r="B2" s="521" t="s">
        <v>22</v>
      </c>
      <c r="C2" s="525" t="s">
        <v>628</v>
      </c>
      <c r="D2" s="523" t="s">
        <v>104</v>
      </c>
      <c r="E2" s="523" t="s">
        <v>105</v>
      </c>
      <c r="F2" s="530" t="s">
        <v>106</v>
      </c>
      <c r="G2" s="531"/>
      <c r="H2" s="532"/>
      <c r="I2" s="521" t="s">
        <v>145</v>
      </c>
      <c r="J2" s="521"/>
    </row>
    <row r="3" spans="1:11" s="100" customFormat="1" ht="57" customHeight="1">
      <c r="A3" s="521"/>
      <c r="B3" s="521"/>
      <c r="C3" s="526"/>
      <c r="D3" s="524"/>
      <c r="E3" s="524"/>
      <c r="F3" s="132" t="s">
        <v>98</v>
      </c>
      <c r="G3" s="132" t="s">
        <v>99</v>
      </c>
      <c r="H3" s="132" t="s">
        <v>97</v>
      </c>
      <c r="I3" s="132" t="s">
        <v>1</v>
      </c>
      <c r="J3" s="133" t="s">
        <v>102</v>
      </c>
    </row>
    <row r="4" spans="1:11" s="100" customFormat="1" ht="28.5" customHeight="1">
      <c r="A4" s="101">
        <v>1</v>
      </c>
      <c r="B4" s="102" t="s">
        <v>10</v>
      </c>
      <c r="C4" s="102">
        <f>D4+E4</f>
        <v>112</v>
      </c>
      <c r="D4" s="125">
        <f t="shared" ref="D4:D16" si="0">I4-E4-F4</f>
        <v>97</v>
      </c>
      <c r="E4" s="126">
        <v>15</v>
      </c>
      <c r="F4" s="126">
        <v>27</v>
      </c>
      <c r="G4" s="105">
        <f>F4/6</f>
        <v>4.5</v>
      </c>
      <c r="H4" s="116" t="s">
        <v>134</v>
      </c>
      <c r="I4" s="126">
        <v>139</v>
      </c>
      <c r="J4" s="111"/>
      <c r="K4" s="100">
        <v>1</v>
      </c>
    </row>
    <row r="5" spans="1:11" s="100" customFormat="1" ht="26">
      <c r="A5" s="101">
        <v>2</v>
      </c>
      <c r="B5" s="102" t="s">
        <v>15</v>
      </c>
      <c r="C5" s="102">
        <f t="shared" ref="C5:C16" si="1">D5+E5</f>
        <v>76</v>
      </c>
      <c r="D5" s="125">
        <f t="shared" si="0"/>
        <v>41</v>
      </c>
      <c r="E5" s="126">
        <v>35</v>
      </c>
      <c r="F5" s="126">
        <v>39</v>
      </c>
      <c r="G5" s="105">
        <f>F5/27</f>
        <v>1.4444444444444444</v>
      </c>
      <c r="H5" s="127" t="s">
        <v>112</v>
      </c>
      <c r="I5" s="126">
        <v>115</v>
      </c>
      <c r="J5" s="128"/>
      <c r="K5" s="100">
        <v>12</v>
      </c>
    </row>
    <row r="6" spans="1:11" s="100" customFormat="1" ht="26">
      <c r="A6" s="101">
        <v>3</v>
      </c>
      <c r="B6" s="102" t="s">
        <v>17</v>
      </c>
      <c r="C6" s="102">
        <f t="shared" si="1"/>
        <v>136</v>
      </c>
      <c r="D6" s="125">
        <f t="shared" si="0"/>
        <v>98</v>
      </c>
      <c r="E6" s="126">
        <v>38</v>
      </c>
      <c r="F6" s="126">
        <v>36</v>
      </c>
      <c r="G6" s="105">
        <f>F6/25</f>
        <v>1.44</v>
      </c>
      <c r="H6" s="102" t="s">
        <v>108</v>
      </c>
      <c r="I6" s="126">
        <v>172</v>
      </c>
      <c r="J6" s="112"/>
      <c r="K6" s="100">
        <v>7</v>
      </c>
    </row>
    <row r="7" spans="1:11" s="100" customFormat="1" ht="36.75" customHeight="1">
      <c r="A7" s="101">
        <v>4</v>
      </c>
      <c r="B7" s="102" t="s">
        <v>14</v>
      </c>
      <c r="C7" s="102">
        <f t="shared" si="1"/>
        <v>69</v>
      </c>
      <c r="D7" s="125">
        <f t="shared" si="0"/>
        <v>39</v>
      </c>
      <c r="E7" s="126">
        <v>30</v>
      </c>
      <c r="F7" s="126">
        <v>18</v>
      </c>
      <c r="G7" s="105">
        <f>F7/13</f>
        <v>1.3846153846153846</v>
      </c>
      <c r="H7" s="116" t="s">
        <v>120</v>
      </c>
      <c r="I7" s="126">
        <v>87</v>
      </c>
      <c r="J7" s="113"/>
      <c r="K7" s="100">
        <v>2</v>
      </c>
    </row>
    <row r="8" spans="1:11" s="100" customFormat="1" ht="13">
      <c r="A8" s="101">
        <v>5</v>
      </c>
      <c r="B8" s="102" t="s">
        <v>18</v>
      </c>
      <c r="C8" s="102">
        <f t="shared" si="1"/>
        <v>181</v>
      </c>
      <c r="D8" s="125">
        <f t="shared" si="0"/>
        <v>139</v>
      </c>
      <c r="E8" s="126">
        <v>42</v>
      </c>
      <c r="F8" s="126">
        <v>28</v>
      </c>
      <c r="G8" s="105">
        <f>F8/21</f>
        <v>1.3333333333333333</v>
      </c>
      <c r="H8" s="116" t="s">
        <v>118</v>
      </c>
      <c r="I8" s="126">
        <v>209</v>
      </c>
      <c r="J8" s="112"/>
      <c r="K8" s="100">
        <v>7</v>
      </c>
    </row>
    <row r="9" spans="1:11" s="100" customFormat="1" ht="13">
      <c r="A9" s="101">
        <v>6</v>
      </c>
      <c r="B9" s="102" t="s">
        <v>16</v>
      </c>
      <c r="C9" s="102">
        <f t="shared" si="1"/>
        <v>118</v>
      </c>
      <c r="D9" s="125">
        <f t="shared" si="0"/>
        <v>91</v>
      </c>
      <c r="E9" s="126">
        <v>27</v>
      </c>
      <c r="F9" s="126">
        <v>21</v>
      </c>
      <c r="G9" s="105">
        <f>21/17</f>
        <v>1.2352941176470589</v>
      </c>
      <c r="H9" s="127" t="s">
        <v>624</v>
      </c>
      <c r="I9" s="126">
        <v>139</v>
      </c>
      <c r="J9" s="112"/>
      <c r="K9" s="100">
        <v>6</v>
      </c>
    </row>
    <row r="10" spans="1:11" s="100" customFormat="1" ht="28.5" customHeight="1">
      <c r="A10" s="101">
        <v>7</v>
      </c>
      <c r="B10" s="102" t="s">
        <v>20</v>
      </c>
      <c r="C10" s="102">
        <f t="shared" si="1"/>
        <v>1</v>
      </c>
      <c r="D10" s="125">
        <f t="shared" si="0"/>
        <v>1</v>
      </c>
      <c r="E10" s="126">
        <v>0</v>
      </c>
      <c r="F10" s="126">
        <v>1</v>
      </c>
      <c r="G10" s="105">
        <f>F10/1</f>
        <v>1</v>
      </c>
      <c r="H10" s="129">
        <v>0</v>
      </c>
      <c r="I10" s="126">
        <v>2</v>
      </c>
      <c r="J10" s="128"/>
      <c r="K10" s="100">
        <v>0</v>
      </c>
    </row>
    <row r="11" spans="1:11" s="100" customFormat="1" ht="39">
      <c r="A11" s="101">
        <v>8</v>
      </c>
      <c r="B11" s="102" t="s">
        <v>19</v>
      </c>
      <c r="C11" s="102">
        <f t="shared" si="1"/>
        <v>435</v>
      </c>
      <c r="D11" s="125">
        <f t="shared" si="0"/>
        <v>404</v>
      </c>
      <c r="E11" s="126">
        <v>31</v>
      </c>
      <c r="F11" s="126">
        <v>28</v>
      </c>
      <c r="G11" s="105">
        <f>F11/30</f>
        <v>0.93333333333333335</v>
      </c>
      <c r="H11" s="127" t="s">
        <v>116</v>
      </c>
      <c r="I11" s="126">
        <v>463</v>
      </c>
      <c r="J11" s="128"/>
      <c r="K11" s="100">
        <v>18</v>
      </c>
    </row>
    <row r="12" spans="1:11" s="100" customFormat="1" ht="13">
      <c r="A12" s="101">
        <v>9</v>
      </c>
      <c r="B12" s="102" t="s">
        <v>11</v>
      </c>
      <c r="C12" s="102">
        <f t="shared" si="1"/>
        <v>33</v>
      </c>
      <c r="D12" s="125">
        <f t="shared" si="0"/>
        <v>20</v>
      </c>
      <c r="E12" s="126">
        <v>13</v>
      </c>
      <c r="F12" s="126">
        <v>9</v>
      </c>
      <c r="G12" s="105">
        <f>9/11</f>
        <v>0.81818181818181823</v>
      </c>
      <c r="H12" s="116" t="s">
        <v>129</v>
      </c>
      <c r="I12" s="126">
        <v>42</v>
      </c>
      <c r="J12" s="116"/>
      <c r="K12" s="100">
        <v>6</v>
      </c>
    </row>
    <row r="13" spans="1:11" s="100" customFormat="1" ht="39">
      <c r="A13" s="101">
        <v>10</v>
      </c>
      <c r="B13" s="102" t="s">
        <v>21</v>
      </c>
      <c r="C13" s="102">
        <f t="shared" si="1"/>
        <v>121</v>
      </c>
      <c r="D13" s="125">
        <f t="shared" si="0"/>
        <v>78</v>
      </c>
      <c r="E13" s="126">
        <v>43</v>
      </c>
      <c r="F13" s="126">
        <v>24</v>
      </c>
      <c r="G13" s="105">
        <f>F13/30</f>
        <v>0.8</v>
      </c>
      <c r="H13" s="116" t="s">
        <v>124</v>
      </c>
      <c r="I13" s="126">
        <v>145</v>
      </c>
      <c r="J13" s="108"/>
      <c r="K13" s="100">
        <v>13</v>
      </c>
    </row>
    <row r="14" spans="1:11" s="100" customFormat="1" ht="26">
      <c r="A14" s="101">
        <v>11</v>
      </c>
      <c r="B14" s="102" t="s">
        <v>12</v>
      </c>
      <c r="C14" s="102">
        <f t="shared" si="1"/>
        <v>248</v>
      </c>
      <c r="D14" s="125">
        <f t="shared" si="0"/>
        <v>228</v>
      </c>
      <c r="E14" s="126">
        <v>20</v>
      </c>
      <c r="F14" s="126">
        <v>15</v>
      </c>
      <c r="G14" s="105">
        <f>F14/21</f>
        <v>0.7142857142857143</v>
      </c>
      <c r="H14" s="127" t="s">
        <v>114</v>
      </c>
      <c r="I14" s="126">
        <v>263</v>
      </c>
      <c r="J14" s="112"/>
      <c r="K14" s="100">
        <v>11</v>
      </c>
    </row>
    <row r="15" spans="1:11" s="100" customFormat="1" ht="26">
      <c r="A15" s="101">
        <v>12</v>
      </c>
      <c r="B15" s="102" t="s">
        <v>13</v>
      </c>
      <c r="C15" s="102">
        <f t="shared" si="1"/>
        <v>77</v>
      </c>
      <c r="D15" s="125">
        <f t="shared" si="0"/>
        <v>57</v>
      </c>
      <c r="E15" s="126">
        <v>20</v>
      </c>
      <c r="F15" s="126">
        <v>15</v>
      </c>
      <c r="G15" s="105">
        <f>F15/21</f>
        <v>0.7142857142857143</v>
      </c>
      <c r="H15" s="127" t="s">
        <v>111</v>
      </c>
      <c r="I15" s="126">
        <v>92</v>
      </c>
      <c r="J15" s="112"/>
      <c r="K15" s="100">
        <v>12</v>
      </c>
    </row>
    <row r="16" spans="1:11" s="100" customFormat="1" ht="28.5" customHeight="1">
      <c r="A16" s="101">
        <v>13</v>
      </c>
      <c r="B16" s="102" t="s">
        <v>24</v>
      </c>
      <c r="C16" s="102">
        <f t="shared" si="1"/>
        <v>18</v>
      </c>
      <c r="D16" s="125">
        <f t="shared" si="0"/>
        <v>14</v>
      </c>
      <c r="E16" s="126">
        <v>4</v>
      </c>
      <c r="F16" s="126">
        <v>2</v>
      </c>
      <c r="G16" s="105">
        <f>F16/6</f>
        <v>0.33333333333333331</v>
      </c>
      <c r="H16" s="116" t="s">
        <v>126</v>
      </c>
      <c r="I16" s="126">
        <v>20</v>
      </c>
      <c r="J16" s="128"/>
      <c r="K16" s="100">
        <v>4</v>
      </c>
    </row>
    <row r="17" spans="1:11" ht="28.5" customHeight="1">
      <c r="A17" s="521" t="s">
        <v>3</v>
      </c>
      <c r="B17" s="521"/>
      <c r="C17" s="473">
        <f>SUM(C4:C16)</f>
        <v>1625</v>
      </c>
      <c r="D17" s="130">
        <f>SUM(D4:D16)</f>
        <v>1307</v>
      </c>
      <c r="E17" s="130">
        <f>SUM(E4:E16)</f>
        <v>318</v>
      </c>
      <c r="F17" s="130">
        <f>SUM(F4:F16)</f>
        <v>263</v>
      </c>
      <c r="G17" s="120">
        <f>F17/230</f>
        <v>1.1434782608695653</v>
      </c>
      <c r="H17" s="120" t="s">
        <v>625</v>
      </c>
      <c r="I17" s="131">
        <f>SUM(I4:I16)</f>
        <v>1888</v>
      </c>
      <c r="J17" s="122"/>
      <c r="K17" s="131">
        <f>SUM(K4:K16)</f>
        <v>99</v>
      </c>
    </row>
    <row r="18" spans="1:11" ht="36.75" customHeight="1">
      <c r="A18" s="527" t="s">
        <v>146</v>
      </c>
      <c r="B18" s="528"/>
      <c r="C18" s="528"/>
      <c r="D18" s="528"/>
      <c r="E18" s="528"/>
      <c r="F18" s="528"/>
      <c r="G18" s="528"/>
      <c r="H18" s="528"/>
      <c r="I18" s="528"/>
      <c r="J18" s="528"/>
    </row>
  </sheetData>
  <mergeCells count="10">
    <mergeCell ref="A17:B17"/>
    <mergeCell ref="A18:J18"/>
    <mergeCell ref="A1:J1"/>
    <mergeCell ref="A2:A3"/>
    <mergeCell ref="B2:B3"/>
    <mergeCell ref="F2:H2"/>
    <mergeCell ref="I2:J2"/>
    <mergeCell ref="D2:D3"/>
    <mergeCell ref="E2:E3"/>
    <mergeCell ref="C2:C3"/>
  </mergeCells>
  <pageMargins left="0.67" right="0.2" top="0.33" bottom="0.2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91"/>
  <sheetViews>
    <sheetView topLeftCell="A16" zoomScaleNormal="100" workbookViewId="0">
      <selection activeCell="X28" sqref="X28"/>
    </sheetView>
  </sheetViews>
  <sheetFormatPr defaultColWidth="10.09765625" defaultRowHeight="14"/>
  <cols>
    <col min="1" max="1" width="4.19921875" style="171" bestFit="1" customWidth="1"/>
    <col min="2" max="2" width="19.296875" style="171" bestFit="1" customWidth="1"/>
    <col min="3" max="3" width="8.5" style="171" customWidth="1"/>
    <col min="4" max="4" width="10.19921875" style="171" customWidth="1"/>
    <col min="5" max="9" width="8.5" style="171" customWidth="1"/>
    <col min="10" max="21" width="8.5" style="171" hidden="1" customWidth="1"/>
    <col min="22" max="22" width="10.3984375" style="171" customWidth="1"/>
    <col min="23" max="27" width="8.5" style="171" customWidth="1"/>
    <col min="28" max="28" width="10.09765625" style="171" customWidth="1"/>
    <col min="29" max="29" width="10.19921875" style="171" customWidth="1"/>
    <col min="30" max="41" width="8.5" style="171" hidden="1" customWidth="1"/>
    <col min="42" max="42" width="12.296875" style="171" customWidth="1"/>
    <col min="43" max="43" width="10.19921875" style="333" customWidth="1"/>
    <col min="44" max="44" width="9.59765625" style="171" customWidth="1"/>
    <col min="45" max="46" width="8.5" style="171" hidden="1" customWidth="1"/>
    <col min="47" max="16384" width="10.09765625" style="171"/>
  </cols>
  <sheetData>
    <row r="1" spans="1:46">
      <c r="B1" s="538" t="s">
        <v>156</v>
      </c>
      <c r="C1" s="539"/>
      <c r="D1" s="539"/>
      <c r="E1" s="539"/>
      <c r="F1" s="539"/>
      <c r="V1" s="173" t="s">
        <v>157</v>
      </c>
      <c r="W1" s="174"/>
      <c r="X1" s="174"/>
      <c r="Y1" s="174"/>
      <c r="Z1" s="174"/>
      <c r="AA1" s="174"/>
      <c r="AB1" s="174"/>
      <c r="AC1" s="174"/>
      <c r="AD1" s="174"/>
      <c r="AE1" s="174"/>
      <c r="AF1" s="174"/>
      <c r="AG1" s="174"/>
      <c r="AH1" s="174"/>
      <c r="AI1" s="174"/>
      <c r="AJ1" s="174"/>
      <c r="AK1" s="174"/>
      <c r="AL1" s="174"/>
      <c r="AM1" s="174"/>
      <c r="AN1" s="174"/>
      <c r="AO1" s="174"/>
      <c r="AP1" s="174"/>
      <c r="AQ1" s="331"/>
    </row>
    <row r="2" spans="1:46">
      <c r="B2" s="540" t="s">
        <v>158</v>
      </c>
      <c r="C2" s="541"/>
      <c r="D2" s="541"/>
      <c r="E2" s="541"/>
      <c r="F2" s="541"/>
      <c r="V2" s="175" t="s">
        <v>159</v>
      </c>
      <c r="W2" s="174"/>
      <c r="X2" s="174"/>
      <c r="Y2" s="174"/>
      <c r="Z2" s="174"/>
      <c r="AA2" s="174"/>
      <c r="AB2" s="174"/>
      <c r="AC2" s="174"/>
      <c r="AD2" s="174"/>
      <c r="AE2" s="174"/>
      <c r="AF2" s="174"/>
      <c r="AG2" s="174"/>
      <c r="AH2" s="174"/>
      <c r="AI2" s="174"/>
      <c r="AJ2" s="174"/>
      <c r="AK2" s="174"/>
      <c r="AL2" s="174"/>
      <c r="AM2" s="174"/>
      <c r="AN2" s="174"/>
      <c r="AO2" s="174"/>
      <c r="AP2" s="174"/>
      <c r="AQ2" s="331"/>
    </row>
    <row r="3" spans="1:46" ht="6" customHeight="1">
      <c r="B3" s="172"/>
      <c r="C3" s="172"/>
      <c r="D3" s="172"/>
      <c r="E3" s="172"/>
      <c r="F3" s="172"/>
      <c r="I3" s="176"/>
      <c r="V3" s="173"/>
      <c r="W3" s="174"/>
      <c r="X3" s="174"/>
      <c r="Y3" s="174"/>
      <c r="Z3" s="174"/>
      <c r="AA3" s="174"/>
      <c r="AB3" s="174"/>
      <c r="AC3" s="174"/>
      <c r="AD3" s="174"/>
      <c r="AE3" s="174"/>
      <c r="AF3" s="174"/>
      <c r="AG3" s="174"/>
      <c r="AH3" s="174"/>
      <c r="AI3" s="174"/>
      <c r="AJ3" s="174"/>
      <c r="AK3" s="174"/>
      <c r="AL3" s="174"/>
      <c r="AM3" s="174"/>
      <c r="AN3" s="174"/>
      <c r="AO3" s="174"/>
      <c r="AP3" s="174"/>
      <c r="AQ3" s="331"/>
    </row>
    <row r="4" spans="1:46" ht="6" customHeight="1">
      <c r="B4" s="172"/>
      <c r="C4" s="172"/>
      <c r="D4" s="172"/>
      <c r="E4" s="172"/>
      <c r="F4" s="172"/>
      <c r="I4" s="176"/>
      <c r="V4" s="173"/>
      <c r="W4" s="174"/>
      <c r="X4" s="174"/>
      <c r="Y4" s="174"/>
      <c r="Z4" s="174"/>
      <c r="AA4" s="174"/>
      <c r="AB4" s="174"/>
      <c r="AC4" s="174"/>
      <c r="AD4" s="174"/>
      <c r="AE4" s="174"/>
      <c r="AF4" s="174"/>
      <c r="AG4" s="174"/>
      <c r="AH4" s="174"/>
      <c r="AI4" s="174"/>
      <c r="AJ4" s="174"/>
      <c r="AK4" s="174"/>
      <c r="AL4" s="174"/>
      <c r="AM4" s="174"/>
      <c r="AN4" s="174"/>
      <c r="AO4" s="174"/>
      <c r="AP4" s="174"/>
      <c r="AQ4" s="331"/>
    </row>
    <row r="5" spans="1:46" ht="30" customHeight="1">
      <c r="A5" s="542" t="s">
        <v>470</v>
      </c>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row>
    <row r="6" spans="1:46" ht="34.5" customHeight="1">
      <c r="A6" s="543" t="s">
        <v>160</v>
      </c>
      <c r="B6" s="543"/>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row>
    <row r="7" spans="1:46" ht="30" customHeight="1">
      <c r="A7" s="544" t="s">
        <v>0</v>
      </c>
      <c r="B7" s="533" t="s">
        <v>161</v>
      </c>
      <c r="C7" s="546" t="s">
        <v>162</v>
      </c>
      <c r="D7" s="546"/>
      <c r="E7" s="546"/>
      <c r="F7" s="546"/>
      <c r="G7" s="546"/>
      <c r="H7" s="546"/>
      <c r="I7" s="546"/>
      <c r="J7" s="546"/>
      <c r="K7" s="546"/>
      <c r="L7" s="546"/>
      <c r="M7" s="546"/>
      <c r="N7" s="546"/>
      <c r="O7" s="546"/>
      <c r="P7" s="546"/>
      <c r="Q7" s="546"/>
      <c r="R7" s="546"/>
      <c r="S7" s="546"/>
      <c r="T7" s="546"/>
      <c r="U7" s="546"/>
      <c r="V7" s="546"/>
      <c r="W7" s="547" t="s">
        <v>163</v>
      </c>
      <c r="X7" s="547"/>
      <c r="Y7" s="547"/>
      <c r="Z7" s="547"/>
      <c r="AA7" s="547"/>
      <c r="AB7" s="547"/>
      <c r="AC7" s="547"/>
      <c r="AD7" s="547"/>
      <c r="AE7" s="547"/>
      <c r="AF7" s="547"/>
      <c r="AG7" s="547"/>
      <c r="AH7" s="547"/>
      <c r="AI7" s="547"/>
      <c r="AJ7" s="547"/>
      <c r="AK7" s="547"/>
      <c r="AL7" s="547"/>
      <c r="AM7" s="547"/>
      <c r="AN7" s="547"/>
      <c r="AO7" s="547"/>
      <c r="AP7" s="547"/>
      <c r="AQ7" s="547" t="s">
        <v>164</v>
      </c>
      <c r="AR7" s="547"/>
      <c r="AS7" s="547" t="s">
        <v>165</v>
      </c>
      <c r="AT7" s="547"/>
    </row>
    <row r="8" spans="1:46">
      <c r="A8" s="545"/>
      <c r="B8" s="534"/>
      <c r="C8" s="533" t="s">
        <v>166</v>
      </c>
      <c r="D8" s="536" t="s">
        <v>167</v>
      </c>
      <c r="E8" s="536"/>
      <c r="F8" s="536"/>
      <c r="G8" s="536"/>
      <c r="H8" s="536"/>
      <c r="I8" s="533" t="s">
        <v>168</v>
      </c>
      <c r="J8" s="537" t="s">
        <v>167</v>
      </c>
      <c r="K8" s="537"/>
      <c r="L8" s="537"/>
      <c r="M8" s="537"/>
      <c r="N8" s="537"/>
      <c r="O8" s="537"/>
      <c r="P8" s="537"/>
      <c r="Q8" s="537"/>
      <c r="R8" s="537"/>
      <c r="S8" s="537"/>
      <c r="T8" s="537"/>
      <c r="U8" s="537"/>
      <c r="V8" s="533" t="s">
        <v>169</v>
      </c>
      <c r="W8" s="533" t="s">
        <v>170</v>
      </c>
      <c r="X8" s="555" t="s">
        <v>167</v>
      </c>
      <c r="Y8" s="555"/>
      <c r="Z8" s="555"/>
      <c r="AA8" s="555"/>
      <c r="AB8" s="555"/>
      <c r="AC8" s="533" t="s">
        <v>168</v>
      </c>
      <c r="AD8" s="537" t="s">
        <v>167</v>
      </c>
      <c r="AE8" s="537"/>
      <c r="AF8" s="537"/>
      <c r="AG8" s="537"/>
      <c r="AH8" s="537"/>
      <c r="AI8" s="537"/>
      <c r="AJ8" s="537"/>
      <c r="AK8" s="537"/>
      <c r="AL8" s="537"/>
      <c r="AM8" s="537"/>
      <c r="AN8" s="537"/>
      <c r="AO8" s="537"/>
      <c r="AP8" s="533" t="s">
        <v>171</v>
      </c>
      <c r="AQ8" s="548" t="s">
        <v>172</v>
      </c>
      <c r="AR8" s="548" t="s">
        <v>173</v>
      </c>
      <c r="AS8" s="548" t="s">
        <v>170</v>
      </c>
      <c r="AT8" s="548" t="s">
        <v>168</v>
      </c>
    </row>
    <row r="9" spans="1:46" ht="15" customHeight="1">
      <c r="A9" s="545"/>
      <c r="B9" s="534"/>
      <c r="C9" s="534"/>
      <c r="D9" s="552" t="s">
        <v>174</v>
      </c>
      <c r="E9" s="552" t="s">
        <v>175</v>
      </c>
      <c r="F9" s="552" t="s">
        <v>176</v>
      </c>
      <c r="G9" s="552" t="s">
        <v>177</v>
      </c>
      <c r="H9" s="552" t="s">
        <v>178</v>
      </c>
      <c r="I9" s="534"/>
      <c r="J9" s="537" t="s">
        <v>179</v>
      </c>
      <c r="K9" s="537"/>
      <c r="L9" s="537"/>
      <c r="M9" s="537"/>
      <c r="N9" s="537"/>
      <c r="O9" s="537"/>
      <c r="P9" s="537" t="s">
        <v>180</v>
      </c>
      <c r="Q9" s="537"/>
      <c r="R9" s="537"/>
      <c r="S9" s="537"/>
      <c r="T9" s="537"/>
      <c r="U9" s="537"/>
      <c r="V9" s="534"/>
      <c r="W9" s="534"/>
      <c r="X9" s="552" t="s">
        <v>174</v>
      </c>
      <c r="Y9" s="552" t="s">
        <v>175</v>
      </c>
      <c r="Z9" s="552" t="s">
        <v>176</v>
      </c>
      <c r="AA9" s="552" t="s">
        <v>177</v>
      </c>
      <c r="AB9" s="552" t="s">
        <v>178</v>
      </c>
      <c r="AC9" s="534"/>
      <c r="AD9" s="537" t="s">
        <v>179</v>
      </c>
      <c r="AE9" s="537"/>
      <c r="AF9" s="537"/>
      <c r="AG9" s="537"/>
      <c r="AH9" s="537"/>
      <c r="AI9" s="537"/>
      <c r="AJ9" s="537" t="s">
        <v>180</v>
      </c>
      <c r="AK9" s="537"/>
      <c r="AL9" s="537"/>
      <c r="AM9" s="537"/>
      <c r="AN9" s="537"/>
      <c r="AO9" s="537"/>
      <c r="AP9" s="534"/>
      <c r="AQ9" s="549"/>
      <c r="AR9" s="549"/>
      <c r="AS9" s="549"/>
      <c r="AT9" s="549"/>
    </row>
    <row r="10" spans="1:46" ht="15.75" customHeight="1">
      <c r="A10" s="179"/>
      <c r="B10" s="534"/>
      <c r="C10" s="534"/>
      <c r="D10" s="553"/>
      <c r="E10" s="553"/>
      <c r="F10" s="553"/>
      <c r="G10" s="553"/>
      <c r="H10" s="553"/>
      <c r="I10" s="534"/>
      <c r="J10" s="556" t="s">
        <v>1</v>
      </c>
      <c r="K10" s="551" t="s">
        <v>181</v>
      </c>
      <c r="L10" s="551"/>
      <c r="M10" s="551" t="s">
        <v>182</v>
      </c>
      <c r="N10" s="551"/>
      <c r="O10" s="551" t="s">
        <v>183</v>
      </c>
      <c r="P10" s="556" t="s">
        <v>1</v>
      </c>
      <c r="Q10" s="551" t="s">
        <v>181</v>
      </c>
      <c r="R10" s="551"/>
      <c r="S10" s="551" t="s">
        <v>182</v>
      </c>
      <c r="T10" s="551"/>
      <c r="U10" s="551" t="s">
        <v>183</v>
      </c>
      <c r="V10" s="534"/>
      <c r="W10" s="534"/>
      <c r="X10" s="553"/>
      <c r="Y10" s="553"/>
      <c r="Z10" s="553"/>
      <c r="AA10" s="553"/>
      <c r="AB10" s="553"/>
      <c r="AC10" s="534"/>
      <c r="AD10" s="556" t="s">
        <v>1</v>
      </c>
      <c r="AE10" s="551" t="s">
        <v>181</v>
      </c>
      <c r="AF10" s="551"/>
      <c r="AG10" s="551" t="s">
        <v>182</v>
      </c>
      <c r="AH10" s="551"/>
      <c r="AI10" s="551" t="s">
        <v>183</v>
      </c>
      <c r="AJ10" s="556" t="s">
        <v>1</v>
      </c>
      <c r="AK10" s="551" t="s">
        <v>181</v>
      </c>
      <c r="AL10" s="551"/>
      <c r="AM10" s="551" t="s">
        <v>182</v>
      </c>
      <c r="AN10" s="551"/>
      <c r="AO10" s="551" t="s">
        <v>183</v>
      </c>
      <c r="AP10" s="534"/>
      <c r="AQ10" s="549"/>
      <c r="AR10" s="549"/>
      <c r="AS10" s="549"/>
      <c r="AT10" s="549"/>
    </row>
    <row r="11" spans="1:46" ht="90" customHeight="1">
      <c r="A11" s="179"/>
      <c r="B11" s="535"/>
      <c r="C11" s="535"/>
      <c r="D11" s="554"/>
      <c r="E11" s="554"/>
      <c r="F11" s="554"/>
      <c r="G11" s="554"/>
      <c r="H11" s="554"/>
      <c r="I11" s="535"/>
      <c r="J11" s="557"/>
      <c r="K11" s="186" t="s">
        <v>184</v>
      </c>
      <c r="L11" s="186" t="s">
        <v>185</v>
      </c>
      <c r="M11" s="186" t="s">
        <v>184</v>
      </c>
      <c r="N11" s="186" t="s">
        <v>185</v>
      </c>
      <c r="O11" s="551"/>
      <c r="P11" s="557"/>
      <c r="Q11" s="186" t="s">
        <v>184</v>
      </c>
      <c r="R11" s="186" t="s">
        <v>185</v>
      </c>
      <c r="S11" s="186" t="s">
        <v>184</v>
      </c>
      <c r="T11" s="186" t="s">
        <v>185</v>
      </c>
      <c r="U11" s="551"/>
      <c r="V11" s="535"/>
      <c r="W11" s="535"/>
      <c r="X11" s="554"/>
      <c r="Y11" s="554"/>
      <c r="Z11" s="554"/>
      <c r="AA11" s="554"/>
      <c r="AB11" s="554"/>
      <c r="AC11" s="535"/>
      <c r="AD11" s="557"/>
      <c r="AE11" s="186" t="s">
        <v>184</v>
      </c>
      <c r="AF11" s="186" t="s">
        <v>185</v>
      </c>
      <c r="AG11" s="186" t="s">
        <v>184</v>
      </c>
      <c r="AH11" s="186" t="s">
        <v>185</v>
      </c>
      <c r="AI11" s="551"/>
      <c r="AJ11" s="557"/>
      <c r="AK11" s="186" t="s">
        <v>184</v>
      </c>
      <c r="AL11" s="186" t="s">
        <v>185</v>
      </c>
      <c r="AM11" s="186" t="s">
        <v>184</v>
      </c>
      <c r="AN11" s="186" t="s">
        <v>185</v>
      </c>
      <c r="AO11" s="551"/>
      <c r="AP11" s="535"/>
      <c r="AQ11" s="550"/>
      <c r="AR11" s="550"/>
      <c r="AS11" s="550"/>
      <c r="AT11" s="550"/>
    </row>
    <row r="12" spans="1:46" ht="28">
      <c r="A12" s="177" t="s">
        <v>25</v>
      </c>
      <c r="B12" s="188" t="s">
        <v>186</v>
      </c>
      <c r="C12" s="189">
        <f t="shared" ref="C12:AP12" si="0">+SUM(C13:C23)</f>
        <v>611.39350000000002</v>
      </c>
      <c r="D12" s="189">
        <f t="shared" si="0"/>
        <v>16.283000000000001</v>
      </c>
      <c r="E12" s="189">
        <f t="shared" si="0"/>
        <v>149.81020000000001</v>
      </c>
      <c r="F12" s="189">
        <f t="shared" si="0"/>
        <v>319.80099999999999</v>
      </c>
      <c r="G12" s="189">
        <f t="shared" si="0"/>
        <v>119.14930000000003</v>
      </c>
      <c r="H12" s="189">
        <f t="shared" si="0"/>
        <v>6.3500000000000005</v>
      </c>
      <c r="I12" s="190">
        <f t="shared" si="0"/>
        <v>343.44970000000006</v>
      </c>
      <c r="J12" s="191">
        <f t="shared" si="0"/>
        <v>74.382000000000005</v>
      </c>
      <c r="K12" s="189">
        <f t="shared" si="0"/>
        <v>39.480000000000004</v>
      </c>
      <c r="L12" s="189">
        <f t="shared" si="0"/>
        <v>17.59</v>
      </c>
      <c r="M12" s="189">
        <f t="shared" si="0"/>
        <v>5.9459999999999997</v>
      </c>
      <c r="N12" s="189">
        <f t="shared" si="0"/>
        <v>10.26</v>
      </c>
      <c r="O12" s="189">
        <f t="shared" si="0"/>
        <v>1.1059999999999999</v>
      </c>
      <c r="P12" s="191">
        <f t="shared" si="0"/>
        <v>269.0677</v>
      </c>
      <c r="Q12" s="189">
        <f t="shared" si="0"/>
        <v>66.724999999999994</v>
      </c>
      <c r="R12" s="189">
        <f t="shared" si="0"/>
        <v>61.791699999999999</v>
      </c>
      <c r="S12" s="189">
        <f t="shared" si="0"/>
        <v>47.473000000000006</v>
      </c>
      <c r="T12" s="189">
        <f t="shared" si="0"/>
        <v>93.078000000000003</v>
      </c>
      <c r="U12" s="189">
        <f t="shared" si="0"/>
        <v>0</v>
      </c>
      <c r="V12" s="192">
        <f t="shared" si="0"/>
        <v>101633.59974999999</v>
      </c>
      <c r="W12" s="193">
        <f t="shared" si="0"/>
        <v>598.9085</v>
      </c>
      <c r="X12" s="189">
        <f t="shared" si="0"/>
        <v>18.401</v>
      </c>
      <c r="Y12" s="189">
        <f t="shared" si="0"/>
        <v>117.35300000000001</v>
      </c>
      <c r="Z12" s="189">
        <f t="shared" si="0"/>
        <v>389.0521</v>
      </c>
      <c r="AA12" s="189">
        <f t="shared" si="0"/>
        <v>72.15440000000001</v>
      </c>
      <c r="AB12" s="189">
        <f t="shared" si="0"/>
        <v>1.9479999999999997</v>
      </c>
      <c r="AC12" s="193">
        <f t="shared" si="0"/>
        <v>148.86099999999999</v>
      </c>
      <c r="AD12" s="194">
        <f t="shared" si="0"/>
        <v>32.585000000000001</v>
      </c>
      <c r="AE12" s="193">
        <f t="shared" si="0"/>
        <v>16.748999999999995</v>
      </c>
      <c r="AF12" s="193">
        <f t="shared" si="0"/>
        <v>6.5740000000000007</v>
      </c>
      <c r="AG12" s="193">
        <f t="shared" si="0"/>
        <v>5.3950000000000005</v>
      </c>
      <c r="AH12" s="193">
        <f t="shared" si="0"/>
        <v>3.867</v>
      </c>
      <c r="AI12" s="193">
        <f t="shared" si="0"/>
        <v>0</v>
      </c>
      <c r="AJ12" s="194">
        <f t="shared" si="0"/>
        <v>105.61000000000001</v>
      </c>
      <c r="AK12" s="193">
        <f t="shared" si="0"/>
        <v>24.266000000000002</v>
      </c>
      <c r="AL12" s="193">
        <f t="shared" si="0"/>
        <v>35.091999999999999</v>
      </c>
      <c r="AM12" s="193">
        <f t="shared" si="0"/>
        <v>19.786000000000001</v>
      </c>
      <c r="AN12" s="193">
        <f t="shared" si="0"/>
        <v>26.465999999999994</v>
      </c>
      <c r="AO12" s="193">
        <f t="shared" si="0"/>
        <v>0</v>
      </c>
      <c r="AP12" s="192">
        <f t="shared" si="0"/>
        <v>87159.222679999977</v>
      </c>
      <c r="AQ12" s="195"/>
      <c r="AR12" s="196"/>
      <c r="AS12" s="193">
        <f>+SUM(AS13:AS23)</f>
        <v>53.533499999999997</v>
      </c>
      <c r="AT12" s="193">
        <f>+SUM(AT13:AT23)</f>
        <v>10.849000000000007</v>
      </c>
    </row>
    <row r="13" spans="1:46">
      <c r="A13" s="197">
        <v>1</v>
      </c>
      <c r="B13" s="198" t="s">
        <v>64</v>
      </c>
      <c r="C13" s="199">
        <f t="shared" ref="C13:C23" si="1">+SUM(D13:H13)</f>
        <v>61.757999999999996</v>
      </c>
      <c r="D13" s="200">
        <f t="shared" ref="D13:V13" si="2">D61</f>
        <v>1.43</v>
      </c>
      <c r="E13" s="200">
        <f t="shared" si="2"/>
        <v>15.356999999999998</v>
      </c>
      <c r="F13" s="200">
        <f t="shared" si="2"/>
        <v>39.653999999999996</v>
      </c>
      <c r="G13" s="200">
        <f t="shared" si="2"/>
        <v>5.3170000000000002</v>
      </c>
      <c r="H13" s="200">
        <f t="shared" si="2"/>
        <v>0</v>
      </c>
      <c r="I13" s="190">
        <f t="shared" si="2"/>
        <v>34.25</v>
      </c>
      <c r="J13" s="191">
        <f t="shared" si="2"/>
        <v>11.97</v>
      </c>
      <c r="K13" s="201">
        <f t="shared" si="2"/>
        <v>1.4200000000000002</v>
      </c>
      <c r="L13" s="201">
        <f t="shared" si="2"/>
        <v>2.8</v>
      </c>
      <c r="M13" s="201">
        <f t="shared" si="2"/>
        <v>0.55000000000000004</v>
      </c>
      <c r="N13" s="201">
        <f t="shared" si="2"/>
        <v>7.2</v>
      </c>
      <c r="O13" s="202">
        <f t="shared" si="2"/>
        <v>0</v>
      </c>
      <c r="P13" s="191">
        <f t="shared" si="2"/>
        <v>22.28</v>
      </c>
      <c r="Q13" s="201">
        <f t="shared" si="2"/>
        <v>2.2000000000000002</v>
      </c>
      <c r="R13" s="201">
        <f t="shared" si="2"/>
        <v>13.46</v>
      </c>
      <c r="S13" s="201">
        <f t="shared" si="2"/>
        <v>0.86</v>
      </c>
      <c r="T13" s="201">
        <f t="shared" si="2"/>
        <v>5.76</v>
      </c>
      <c r="U13" s="201">
        <f t="shared" si="2"/>
        <v>0</v>
      </c>
      <c r="V13" s="203">
        <f t="shared" si="2"/>
        <v>10084.083190000001</v>
      </c>
      <c r="W13" s="204">
        <f t="shared" ref="W13:W23" si="3">SUM(X13:AB13)</f>
        <v>57.580999999999989</v>
      </c>
      <c r="X13" s="200">
        <f>X61</f>
        <v>2.718</v>
      </c>
      <c r="Y13" s="200">
        <f>Y61</f>
        <v>11.769000000000002</v>
      </c>
      <c r="Z13" s="200">
        <f>Z61</f>
        <v>39.692999999999991</v>
      </c>
      <c r="AA13" s="200">
        <f>AA61</f>
        <v>3.4009999999999998</v>
      </c>
      <c r="AB13" s="200">
        <f>AB61</f>
        <v>0</v>
      </c>
      <c r="AC13" s="205">
        <f t="shared" ref="AC13:AP13" si="4">AC61</f>
        <v>14.047000000000001</v>
      </c>
      <c r="AD13" s="204">
        <f t="shared" si="4"/>
        <v>1.6500000000000001</v>
      </c>
      <c r="AE13" s="200">
        <f t="shared" si="4"/>
        <v>1.1000000000000001</v>
      </c>
      <c r="AF13" s="200">
        <f t="shared" si="4"/>
        <v>0</v>
      </c>
      <c r="AG13" s="200">
        <f t="shared" si="4"/>
        <v>0.55000000000000004</v>
      </c>
      <c r="AH13" s="200">
        <f t="shared" si="4"/>
        <v>0</v>
      </c>
      <c r="AI13" s="200">
        <f t="shared" si="4"/>
        <v>0</v>
      </c>
      <c r="AJ13" s="204">
        <f t="shared" si="4"/>
        <v>10.397</v>
      </c>
      <c r="AK13" s="200">
        <f t="shared" si="4"/>
        <v>1</v>
      </c>
      <c r="AL13" s="200">
        <f t="shared" si="4"/>
        <v>7.7999999999999989</v>
      </c>
      <c r="AM13" s="200">
        <f t="shared" si="4"/>
        <v>0.502</v>
      </c>
      <c r="AN13" s="200">
        <f t="shared" si="4"/>
        <v>1.095</v>
      </c>
      <c r="AO13" s="202">
        <f t="shared" si="4"/>
        <v>0</v>
      </c>
      <c r="AP13" s="192">
        <f t="shared" si="4"/>
        <v>8296.5499999999993</v>
      </c>
      <c r="AQ13" s="206">
        <f t="shared" ref="AQ13:AQ23" si="5">W13/C13</f>
        <v>0.93236503772790558</v>
      </c>
      <c r="AR13" s="207">
        <f t="shared" ref="AR13:AR23" si="6">AC13/I13</f>
        <v>0.4101313868613139</v>
      </c>
      <c r="AS13" s="208">
        <f>W13-'[1]16-12'!W12</f>
        <v>0</v>
      </c>
      <c r="AT13" s="209">
        <f>AC13-'[1]16-12'!AC12</f>
        <v>2</v>
      </c>
    </row>
    <row r="14" spans="1:46">
      <c r="A14" s="197">
        <v>2</v>
      </c>
      <c r="B14" s="198" t="s">
        <v>66</v>
      </c>
      <c r="C14" s="199">
        <f t="shared" si="1"/>
        <v>121.81099999999999</v>
      </c>
      <c r="D14" s="210">
        <f>D102</f>
        <v>1.35</v>
      </c>
      <c r="E14" s="210">
        <f t="shared" ref="E14:U14" si="7">E102</f>
        <v>26.404999999999998</v>
      </c>
      <c r="F14" s="210">
        <f t="shared" si="7"/>
        <v>60.689000000000007</v>
      </c>
      <c r="G14" s="210">
        <f t="shared" si="7"/>
        <v>33.067</v>
      </c>
      <c r="H14" s="210">
        <f t="shared" si="7"/>
        <v>0.3</v>
      </c>
      <c r="I14" s="211">
        <f t="shared" si="7"/>
        <v>52.210999999999999</v>
      </c>
      <c r="J14" s="210">
        <f t="shared" si="7"/>
        <v>9.109</v>
      </c>
      <c r="K14" s="210">
        <f t="shared" si="7"/>
        <v>5.8789999999999996</v>
      </c>
      <c r="L14" s="210">
        <f t="shared" si="7"/>
        <v>2.6</v>
      </c>
      <c r="M14" s="210">
        <f t="shared" si="7"/>
        <v>0.63</v>
      </c>
      <c r="N14" s="210">
        <f t="shared" si="7"/>
        <v>0</v>
      </c>
      <c r="O14" s="210">
        <f t="shared" si="7"/>
        <v>0</v>
      </c>
      <c r="P14" s="210">
        <f t="shared" si="7"/>
        <v>43.101999999999997</v>
      </c>
      <c r="Q14" s="210">
        <f t="shared" si="7"/>
        <v>7.7270000000000003</v>
      </c>
      <c r="R14" s="210">
        <f t="shared" si="7"/>
        <v>18.074999999999999</v>
      </c>
      <c r="S14" s="210">
        <f t="shared" si="7"/>
        <v>1.2</v>
      </c>
      <c r="T14" s="210">
        <f t="shared" si="7"/>
        <v>16.100000000000001</v>
      </c>
      <c r="U14" s="210">
        <f t="shared" si="7"/>
        <v>0</v>
      </c>
      <c r="V14" s="203">
        <f>V102</f>
        <v>18657.416901000004</v>
      </c>
      <c r="W14" s="204">
        <f t="shared" si="3"/>
        <v>117.36150000000001</v>
      </c>
      <c r="X14" s="210">
        <f>X102</f>
        <v>3.5329999999999999</v>
      </c>
      <c r="Y14" s="210">
        <f>Y102</f>
        <v>18.750000000000004</v>
      </c>
      <c r="Z14" s="210">
        <f>Z102</f>
        <v>74.623100000000008</v>
      </c>
      <c r="AA14" s="210">
        <f>AA102</f>
        <v>20.455400000000004</v>
      </c>
      <c r="AB14" s="210">
        <f>AB102</f>
        <v>0</v>
      </c>
      <c r="AC14" s="212">
        <f t="shared" ref="AC14:AP14" si="8">AC102</f>
        <v>24.606999999999996</v>
      </c>
      <c r="AD14" s="213">
        <f t="shared" si="8"/>
        <v>8.3840000000000003</v>
      </c>
      <c r="AE14" s="210">
        <f t="shared" si="8"/>
        <v>3.6</v>
      </c>
      <c r="AF14" s="210">
        <f t="shared" si="8"/>
        <v>4.242</v>
      </c>
      <c r="AG14" s="210">
        <f t="shared" si="8"/>
        <v>0.34200000000000003</v>
      </c>
      <c r="AH14" s="210">
        <f t="shared" si="8"/>
        <v>0.2</v>
      </c>
      <c r="AI14" s="210">
        <f t="shared" si="8"/>
        <v>0</v>
      </c>
      <c r="AJ14" s="213">
        <f t="shared" si="8"/>
        <v>18.668999999999993</v>
      </c>
      <c r="AK14" s="210">
        <f t="shared" si="8"/>
        <v>2.25</v>
      </c>
      <c r="AL14" s="210">
        <f t="shared" si="8"/>
        <v>9.1359999999999992</v>
      </c>
      <c r="AM14" s="210">
        <f t="shared" si="8"/>
        <v>2.27</v>
      </c>
      <c r="AN14" s="210">
        <f t="shared" si="8"/>
        <v>5.0129999999999999</v>
      </c>
      <c r="AO14" s="214">
        <f t="shared" si="8"/>
        <v>0</v>
      </c>
      <c r="AP14" s="215">
        <f t="shared" si="8"/>
        <v>15142.299999999997</v>
      </c>
      <c r="AQ14" s="206">
        <f t="shared" si="5"/>
        <v>0.96347210022083407</v>
      </c>
      <c r="AR14" s="207">
        <f t="shared" si="6"/>
        <v>0.47129915151979462</v>
      </c>
      <c r="AS14" s="208">
        <f>W14-'[1]16-12'!W13</f>
        <v>13.611499999999992</v>
      </c>
      <c r="AT14" s="209">
        <f>AC14-'[1]16-12'!AC13</f>
        <v>-2.445999999999998</v>
      </c>
    </row>
    <row r="15" spans="1:46">
      <c r="A15" s="197">
        <v>3</v>
      </c>
      <c r="B15" s="198" t="s">
        <v>187</v>
      </c>
      <c r="C15" s="199">
        <f t="shared" si="1"/>
        <v>36.5</v>
      </c>
      <c r="D15" s="210">
        <f>D132</f>
        <v>0</v>
      </c>
      <c r="E15" s="210">
        <f t="shared" ref="E15:V15" si="9">E132</f>
        <v>24.000000000000004</v>
      </c>
      <c r="F15" s="210">
        <f t="shared" si="9"/>
        <v>4.5</v>
      </c>
      <c r="G15" s="210">
        <f t="shared" si="9"/>
        <v>8</v>
      </c>
      <c r="H15" s="210">
        <f t="shared" si="9"/>
        <v>0</v>
      </c>
      <c r="I15" s="211">
        <f t="shared" si="9"/>
        <v>30.763000000000002</v>
      </c>
      <c r="J15" s="210">
        <f t="shared" si="9"/>
        <v>7.1930000000000005</v>
      </c>
      <c r="K15" s="210">
        <f t="shared" si="9"/>
        <v>7.1930000000000005</v>
      </c>
      <c r="L15" s="210">
        <f t="shared" si="9"/>
        <v>0</v>
      </c>
      <c r="M15" s="210">
        <f t="shared" si="9"/>
        <v>0</v>
      </c>
      <c r="N15" s="210">
        <f t="shared" si="9"/>
        <v>0</v>
      </c>
      <c r="O15" s="210">
        <f t="shared" si="9"/>
        <v>0</v>
      </c>
      <c r="P15" s="210">
        <f t="shared" si="9"/>
        <v>23.57</v>
      </c>
      <c r="Q15" s="210">
        <f t="shared" si="9"/>
        <v>23.57</v>
      </c>
      <c r="R15" s="210">
        <f t="shared" si="9"/>
        <v>0</v>
      </c>
      <c r="S15" s="210">
        <f t="shared" si="9"/>
        <v>0</v>
      </c>
      <c r="T15" s="210">
        <f t="shared" si="9"/>
        <v>0</v>
      </c>
      <c r="U15" s="210">
        <f t="shared" si="9"/>
        <v>0</v>
      </c>
      <c r="V15" s="203">
        <f t="shared" si="9"/>
        <v>7882.4412749999983</v>
      </c>
      <c r="W15" s="204">
        <f t="shared" si="3"/>
        <v>30.966999999999999</v>
      </c>
      <c r="X15" s="210">
        <f>X132</f>
        <v>0</v>
      </c>
      <c r="Y15" s="210">
        <f>Y132</f>
        <v>20.754999999999999</v>
      </c>
      <c r="Z15" s="210">
        <f>Z132</f>
        <v>5.3339999999999996</v>
      </c>
      <c r="AA15" s="210">
        <f>AA132</f>
        <v>4.8780000000000001</v>
      </c>
      <c r="AB15" s="210">
        <f>AB132</f>
        <v>0</v>
      </c>
      <c r="AC15" s="216">
        <f t="shared" ref="AC15:AP15" si="10">AC132</f>
        <v>17.427</v>
      </c>
      <c r="AD15" s="213">
        <f t="shared" si="10"/>
        <v>5.8669999999999982</v>
      </c>
      <c r="AE15" s="210">
        <f t="shared" si="10"/>
        <v>5.7419999999999982</v>
      </c>
      <c r="AF15" s="210">
        <f t="shared" si="10"/>
        <v>0</v>
      </c>
      <c r="AG15" s="210">
        <f t="shared" si="10"/>
        <v>0.125</v>
      </c>
      <c r="AH15" s="210">
        <f t="shared" si="10"/>
        <v>0</v>
      </c>
      <c r="AI15" s="210">
        <f t="shared" si="10"/>
        <v>0</v>
      </c>
      <c r="AJ15" s="213">
        <f t="shared" si="10"/>
        <v>12.885999999999999</v>
      </c>
      <c r="AK15" s="210">
        <f t="shared" si="10"/>
        <v>12.186</v>
      </c>
      <c r="AL15" s="210">
        <f t="shared" si="10"/>
        <v>0</v>
      </c>
      <c r="AM15" s="210">
        <f t="shared" si="10"/>
        <v>0.7</v>
      </c>
      <c r="AN15" s="210">
        <f t="shared" si="10"/>
        <v>0</v>
      </c>
      <c r="AO15" s="214">
        <f t="shared" si="10"/>
        <v>0</v>
      </c>
      <c r="AP15" s="217">
        <f t="shared" si="10"/>
        <v>5443.46</v>
      </c>
      <c r="AQ15" s="206">
        <f t="shared" si="5"/>
        <v>0.84841095890410956</v>
      </c>
      <c r="AR15" s="207">
        <f t="shared" si="6"/>
        <v>0.56649221467347133</v>
      </c>
      <c r="AS15" s="208">
        <f>W15-'[1]16-12'!W14</f>
        <v>3.4960000000000022</v>
      </c>
      <c r="AT15" s="209">
        <f>AC15-'[1]16-12'!AC14</f>
        <v>-1.325999999999997</v>
      </c>
    </row>
    <row r="16" spans="1:46">
      <c r="A16" s="197">
        <v>4</v>
      </c>
      <c r="B16" s="198" t="s">
        <v>69</v>
      </c>
      <c r="C16" s="199">
        <f>+SUM(D16:H16)</f>
        <v>89.434500000000014</v>
      </c>
      <c r="D16" s="210">
        <f t="shared" ref="D16:U16" si="11">D177</f>
        <v>0.6</v>
      </c>
      <c r="E16" s="210">
        <f t="shared" si="11"/>
        <v>19.310500000000001</v>
      </c>
      <c r="F16" s="210">
        <f t="shared" si="11"/>
        <v>50.889000000000003</v>
      </c>
      <c r="G16" s="210">
        <f t="shared" si="11"/>
        <v>18.385000000000002</v>
      </c>
      <c r="H16" s="210">
        <f t="shared" si="11"/>
        <v>0.25</v>
      </c>
      <c r="I16" s="211">
        <f t="shared" si="11"/>
        <v>44.03</v>
      </c>
      <c r="J16" s="213">
        <f t="shared" si="11"/>
        <v>8.9899999999999984</v>
      </c>
      <c r="K16" s="218">
        <f t="shared" si="11"/>
        <v>6.05</v>
      </c>
      <c r="L16" s="218">
        <f t="shared" si="11"/>
        <v>2.41</v>
      </c>
      <c r="M16" s="218">
        <f t="shared" si="11"/>
        <v>0.53</v>
      </c>
      <c r="N16" s="218">
        <f t="shared" si="11"/>
        <v>0</v>
      </c>
      <c r="O16" s="214">
        <f t="shared" si="11"/>
        <v>0</v>
      </c>
      <c r="P16" s="213">
        <f t="shared" si="11"/>
        <v>35.04</v>
      </c>
      <c r="Q16" s="218">
        <f t="shared" si="11"/>
        <v>18.36</v>
      </c>
      <c r="R16" s="218">
        <f t="shared" si="11"/>
        <v>9.19</v>
      </c>
      <c r="S16" s="218">
        <f t="shared" si="11"/>
        <v>1.88</v>
      </c>
      <c r="T16" s="218">
        <f t="shared" si="11"/>
        <v>5.6099999999999994</v>
      </c>
      <c r="U16" s="218">
        <f t="shared" si="11"/>
        <v>0</v>
      </c>
      <c r="V16" s="203">
        <f>V177</f>
        <v>14286.67634</v>
      </c>
      <c r="W16" s="204">
        <f t="shared" si="3"/>
        <v>86.224999999999994</v>
      </c>
      <c r="X16" s="210">
        <f>X177</f>
        <v>0.6</v>
      </c>
      <c r="Y16" s="210">
        <f>Y177</f>
        <v>13.956</v>
      </c>
      <c r="Z16" s="210">
        <f>Z177</f>
        <v>65.945999999999998</v>
      </c>
      <c r="AA16" s="210">
        <f>AA177</f>
        <v>5.7229999999999999</v>
      </c>
      <c r="AB16" s="210">
        <f>AB177</f>
        <v>0</v>
      </c>
      <c r="AC16" s="204">
        <f t="shared" ref="AC16:AC22" si="12">AD16+AJ16</f>
        <v>2.528</v>
      </c>
      <c r="AD16" s="213">
        <f t="shared" ref="AD16:AP16" si="13">AD177</f>
        <v>0.39100000000000001</v>
      </c>
      <c r="AE16" s="210">
        <f t="shared" si="13"/>
        <v>0</v>
      </c>
      <c r="AF16" s="210">
        <f t="shared" si="13"/>
        <v>0.11799999999999999</v>
      </c>
      <c r="AG16" s="210">
        <f t="shared" si="13"/>
        <v>0.21300000000000002</v>
      </c>
      <c r="AH16" s="210">
        <f t="shared" si="13"/>
        <v>0.06</v>
      </c>
      <c r="AI16" s="210">
        <f t="shared" si="13"/>
        <v>0</v>
      </c>
      <c r="AJ16" s="213">
        <f t="shared" si="13"/>
        <v>2.137</v>
      </c>
      <c r="AK16" s="210">
        <f t="shared" si="13"/>
        <v>0.68700000000000006</v>
      </c>
      <c r="AL16" s="210">
        <f t="shared" si="13"/>
        <v>0.221</v>
      </c>
      <c r="AM16" s="210">
        <f t="shared" si="13"/>
        <v>0.38900000000000001</v>
      </c>
      <c r="AN16" s="210">
        <f t="shared" si="13"/>
        <v>0.84</v>
      </c>
      <c r="AO16" s="214">
        <f t="shared" si="13"/>
        <v>0</v>
      </c>
      <c r="AP16" s="215">
        <f t="shared" si="13"/>
        <v>9870.6149999999998</v>
      </c>
      <c r="AQ16" s="206">
        <f t="shared" si="5"/>
        <v>0.96411340142786039</v>
      </c>
      <c r="AR16" s="207">
        <f t="shared" si="6"/>
        <v>5.7415398591869178E-2</v>
      </c>
      <c r="AS16" s="208">
        <f>W16-'[1]16-12'!W15</f>
        <v>5.2450000000000045</v>
      </c>
      <c r="AT16" s="209">
        <f>AC16-'[1]16-12'!AC15</f>
        <v>-3.8750000000000004</v>
      </c>
    </row>
    <row r="17" spans="1:46">
      <c r="A17" s="197">
        <v>5</v>
      </c>
      <c r="B17" s="198" t="s">
        <v>71</v>
      </c>
      <c r="C17" s="199">
        <f t="shared" si="1"/>
        <v>45.969999999999992</v>
      </c>
      <c r="D17" s="210">
        <f>D214</f>
        <v>1.2</v>
      </c>
      <c r="E17" s="210">
        <f t="shared" ref="E17:U17" si="14">E214</f>
        <v>9</v>
      </c>
      <c r="F17" s="210">
        <f t="shared" si="14"/>
        <v>22.4</v>
      </c>
      <c r="G17" s="210">
        <f t="shared" si="14"/>
        <v>12.399999999999999</v>
      </c>
      <c r="H17" s="210">
        <f t="shared" si="14"/>
        <v>0.97</v>
      </c>
      <c r="I17" s="211">
        <f t="shared" si="14"/>
        <v>77.069999999999993</v>
      </c>
      <c r="J17" s="210">
        <f t="shared" si="14"/>
        <v>11.100000000000001</v>
      </c>
      <c r="K17" s="210">
        <f t="shared" si="14"/>
        <v>7.9</v>
      </c>
      <c r="L17" s="210">
        <f t="shared" si="14"/>
        <v>3.2</v>
      </c>
      <c r="M17" s="210">
        <f t="shared" si="14"/>
        <v>0</v>
      </c>
      <c r="N17" s="210">
        <f t="shared" si="14"/>
        <v>0</v>
      </c>
      <c r="O17" s="210">
        <f t="shared" si="14"/>
        <v>0</v>
      </c>
      <c r="P17" s="210">
        <f t="shared" si="14"/>
        <v>65.97</v>
      </c>
      <c r="Q17" s="210">
        <f t="shared" si="14"/>
        <v>3.35</v>
      </c>
      <c r="R17" s="210">
        <f t="shared" si="14"/>
        <v>9.26</v>
      </c>
      <c r="S17" s="210">
        <f t="shared" si="14"/>
        <v>21.16</v>
      </c>
      <c r="T17" s="210">
        <f t="shared" si="14"/>
        <v>32.200000000000003</v>
      </c>
      <c r="U17" s="210">
        <f t="shared" si="14"/>
        <v>0</v>
      </c>
      <c r="V17" s="203">
        <f>V214</f>
        <v>10730.29816</v>
      </c>
      <c r="W17" s="204">
        <f t="shared" si="3"/>
        <v>53.97</v>
      </c>
      <c r="X17" s="210">
        <f>X214</f>
        <v>0</v>
      </c>
      <c r="Y17" s="210">
        <f>Y214</f>
        <v>10.399000000000001</v>
      </c>
      <c r="Z17" s="210">
        <f>Z214</f>
        <v>36.472000000000001</v>
      </c>
      <c r="AA17" s="210">
        <f>AA214</f>
        <v>7.0990000000000002</v>
      </c>
      <c r="AB17" s="210">
        <f>AB214</f>
        <v>0</v>
      </c>
      <c r="AC17" s="204">
        <f t="shared" si="12"/>
        <v>36.464999999999996</v>
      </c>
      <c r="AD17" s="213">
        <f t="shared" ref="AD17:AP17" si="15">AD214</f>
        <v>6.4539999999999997</v>
      </c>
      <c r="AE17" s="210">
        <f t="shared" si="15"/>
        <v>2.8</v>
      </c>
      <c r="AF17" s="210">
        <f t="shared" si="15"/>
        <v>1.8139999999999998</v>
      </c>
      <c r="AG17" s="210">
        <f t="shared" si="15"/>
        <v>1.67</v>
      </c>
      <c r="AH17" s="210">
        <f t="shared" si="15"/>
        <v>0.17</v>
      </c>
      <c r="AI17" s="210">
        <f t="shared" si="15"/>
        <v>0</v>
      </c>
      <c r="AJ17" s="213">
        <f t="shared" si="15"/>
        <v>30.010999999999996</v>
      </c>
      <c r="AK17" s="210">
        <f t="shared" si="15"/>
        <v>4.0259999999999998</v>
      </c>
      <c r="AL17" s="210">
        <f t="shared" si="15"/>
        <v>16.795000000000002</v>
      </c>
      <c r="AM17" s="210">
        <f t="shared" si="15"/>
        <v>0</v>
      </c>
      <c r="AN17" s="210">
        <f t="shared" si="15"/>
        <v>9.19</v>
      </c>
      <c r="AO17" s="214">
        <f t="shared" si="15"/>
        <v>0</v>
      </c>
      <c r="AP17" s="215">
        <f t="shared" si="15"/>
        <v>11469.550000000001</v>
      </c>
      <c r="AQ17" s="206">
        <f t="shared" si="5"/>
        <v>1.1740265390472049</v>
      </c>
      <c r="AR17" s="207">
        <f t="shared" si="6"/>
        <v>0.47314130011677696</v>
      </c>
      <c r="AS17" s="208">
        <f>W17-'[1]16-12'!W16</f>
        <v>6.2099999999999937</v>
      </c>
      <c r="AT17" s="209">
        <f>AC17-'[1]16-12'!AC16</f>
        <v>0.5</v>
      </c>
    </row>
    <row r="18" spans="1:46">
      <c r="A18" s="197">
        <v>6</v>
      </c>
      <c r="B18" s="198" t="s">
        <v>75</v>
      </c>
      <c r="C18" s="199">
        <f t="shared" si="1"/>
        <v>42.796999999999997</v>
      </c>
      <c r="D18" s="210">
        <f t="shared" ref="D18:U18" si="16">D266</f>
        <v>0.25</v>
      </c>
      <c r="E18" s="210">
        <f t="shared" si="16"/>
        <v>10.451700000000001</v>
      </c>
      <c r="F18" s="210">
        <f t="shared" si="16"/>
        <v>20.852</v>
      </c>
      <c r="G18" s="210">
        <f t="shared" si="16"/>
        <v>7.513300000000001</v>
      </c>
      <c r="H18" s="210">
        <f t="shared" si="16"/>
        <v>3.73</v>
      </c>
      <c r="I18" s="211">
        <f t="shared" si="16"/>
        <v>21.164000000000001</v>
      </c>
      <c r="J18" s="203">
        <f t="shared" si="16"/>
        <v>4.1710000000000003</v>
      </c>
      <c r="K18" s="203">
        <f t="shared" si="16"/>
        <v>0.57499999999999996</v>
      </c>
      <c r="L18" s="203">
        <f t="shared" si="16"/>
        <v>0</v>
      </c>
      <c r="M18" s="203">
        <f t="shared" si="16"/>
        <v>0.53600000000000003</v>
      </c>
      <c r="N18" s="203">
        <f t="shared" si="16"/>
        <v>3.06</v>
      </c>
      <c r="O18" s="203">
        <f t="shared" si="16"/>
        <v>0</v>
      </c>
      <c r="P18" s="203">
        <f t="shared" si="16"/>
        <v>16.993000000000002</v>
      </c>
      <c r="Q18" s="203">
        <f t="shared" si="16"/>
        <v>0.5</v>
      </c>
      <c r="R18" s="203">
        <f t="shared" si="16"/>
        <v>0.3</v>
      </c>
      <c r="S18" s="203">
        <f t="shared" si="16"/>
        <v>3.5330000000000004</v>
      </c>
      <c r="T18" s="203">
        <f t="shared" si="16"/>
        <v>12.66</v>
      </c>
      <c r="U18" s="203">
        <f t="shared" si="16"/>
        <v>0</v>
      </c>
      <c r="V18" s="203">
        <f>V266</f>
        <v>6734.4877009999991</v>
      </c>
      <c r="W18" s="204">
        <f t="shared" si="3"/>
        <v>43.053000000000004</v>
      </c>
      <c r="X18" s="210">
        <f>X266</f>
        <v>0.4</v>
      </c>
      <c r="Y18" s="210">
        <f>Y266</f>
        <v>7.2750000000000004</v>
      </c>
      <c r="Z18" s="210">
        <f>Z266</f>
        <v>30.180000000000007</v>
      </c>
      <c r="AA18" s="210">
        <f>AA266</f>
        <v>4.0999999999999996</v>
      </c>
      <c r="AB18" s="210">
        <f>AB266</f>
        <v>1.0979999999999999</v>
      </c>
      <c r="AC18" s="204">
        <f t="shared" si="12"/>
        <v>7.2219999999999995</v>
      </c>
      <c r="AD18" s="213">
        <f t="shared" ref="AD18:AP18" si="17">AD266</f>
        <v>4.0339999999999998</v>
      </c>
      <c r="AE18" s="210">
        <f t="shared" si="17"/>
        <v>1.1870000000000001</v>
      </c>
      <c r="AF18" s="210">
        <f t="shared" si="17"/>
        <v>0</v>
      </c>
      <c r="AG18" s="210">
        <f t="shared" si="17"/>
        <v>0</v>
      </c>
      <c r="AH18" s="210">
        <f t="shared" si="17"/>
        <v>2.847</v>
      </c>
      <c r="AI18" s="210">
        <f t="shared" si="17"/>
        <v>0</v>
      </c>
      <c r="AJ18" s="213">
        <f t="shared" si="17"/>
        <v>3.1879999999999997</v>
      </c>
      <c r="AK18" s="210">
        <f t="shared" si="17"/>
        <v>0.97700000000000009</v>
      </c>
      <c r="AL18" s="210">
        <f t="shared" si="17"/>
        <v>0</v>
      </c>
      <c r="AM18" s="210">
        <f t="shared" si="17"/>
        <v>0.95000000000000007</v>
      </c>
      <c r="AN18" s="210">
        <f t="shared" si="17"/>
        <v>1.2610000000000001</v>
      </c>
      <c r="AO18" s="214">
        <f t="shared" si="17"/>
        <v>0</v>
      </c>
      <c r="AP18" s="215">
        <f t="shared" si="17"/>
        <v>5534.8876799999998</v>
      </c>
      <c r="AQ18" s="206">
        <f t="shared" si="5"/>
        <v>1.0059817276911935</v>
      </c>
      <c r="AR18" s="207">
        <f t="shared" si="6"/>
        <v>0.34123984123984119</v>
      </c>
      <c r="AS18" s="208">
        <f>W18-'[1]16-12'!W17</f>
        <v>0</v>
      </c>
      <c r="AT18" s="209">
        <f>AC18-'[1]16-12'!AC17</f>
        <v>0</v>
      </c>
    </row>
    <row r="19" spans="1:46">
      <c r="A19" s="197">
        <v>7</v>
      </c>
      <c r="B19" s="198" t="s">
        <v>73</v>
      </c>
      <c r="C19" s="199">
        <f t="shared" si="1"/>
        <v>50</v>
      </c>
      <c r="D19" s="210">
        <f>D308</f>
        <v>5.6000000000000005</v>
      </c>
      <c r="E19" s="210">
        <f t="shared" ref="E19:V19" si="18">E308</f>
        <v>7.75</v>
      </c>
      <c r="F19" s="210">
        <f t="shared" si="18"/>
        <v>31.600000000000005</v>
      </c>
      <c r="G19" s="210">
        <f t="shared" si="18"/>
        <v>5.0500000000000007</v>
      </c>
      <c r="H19" s="210">
        <f t="shared" si="18"/>
        <v>0</v>
      </c>
      <c r="I19" s="211">
        <f t="shared" si="18"/>
        <v>5.5</v>
      </c>
      <c r="J19" s="210">
        <f t="shared" si="18"/>
        <v>3.6999999999999997</v>
      </c>
      <c r="K19" s="210">
        <f t="shared" si="18"/>
        <v>0</v>
      </c>
      <c r="L19" s="210">
        <f t="shared" si="18"/>
        <v>0</v>
      </c>
      <c r="M19" s="210">
        <f t="shared" si="18"/>
        <v>3.6999999999999997</v>
      </c>
      <c r="N19" s="210">
        <f t="shared" si="18"/>
        <v>0</v>
      </c>
      <c r="O19" s="210">
        <f t="shared" si="18"/>
        <v>0</v>
      </c>
      <c r="P19" s="210">
        <f t="shared" si="18"/>
        <v>1.8</v>
      </c>
      <c r="Q19" s="210">
        <f t="shared" si="18"/>
        <v>0</v>
      </c>
      <c r="R19" s="210">
        <f t="shared" si="18"/>
        <v>0</v>
      </c>
      <c r="S19" s="210">
        <f t="shared" si="18"/>
        <v>1.8</v>
      </c>
      <c r="T19" s="210">
        <f t="shared" si="18"/>
        <v>0</v>
      </c>
      <c r="U19" s="210">
        <f t="shared" si="18"/>
        <v>0</v>
      </c>
      <c r="V19" s="203">
        <f t="shared" si="18"/>
        <v>6972.8480999999992</v>
      </c>
      <c r="W19" s="204">
        <f t="shared" si="3"/>
        <v>49.03</v>
      </c>
      <c r="X19" s="210">
        <f>X308</f>
        <v>4</v>
      </c>
      <c r="Y19" s="210">
        <f>Y308</f>
        <v>4.117</v>
      </c>
      <c r="Z19" s="210">
        <f>Z308</f>
        <v>34.317999999999998</v>
      </c>
      <c r="AA19" s="210">
        <f>AA308</f>
        <v>6.5950000000000006</v>
      </c>
      <c r="AB19" s="210">
        <f>AB308</f>
        <v>0</v>
      </c>
      <c r="AC19" s="216">
        <f t="shared" ref="AC19:AP19" si="19">AC308</f>
        <v>6.99</v>
      </c>
      <c r="AD19" s="213">
        <f t="shared" si="19"/>
        <v>3.29</v>
      </c>
      <c r="AE19" s="210">
        <f t="shared" si="19"/>
        <v>0.60000000000000009</v>
      </c>
      <c r="AF19" s="210">
        <f t="shared" si="19"/>
        <v>0</v>
      </c>
      <c r="AG19" s="210">
        <f t="shared" si="19"/>
        <v>2.4</v>
      </c>
      <c r="AH19" s="210">
        <f t="shared" si="19"/>
        <v>0.29000000000000004</v>
      </c>
      <c r="AI19" s="210">
        <f t="shared" si="19"/>
        <v>0</v>
      </c>
      <c r="AJ19" s="213">
        <f t="shared" si="19"/>
        <v>1.62</v>
      </c>
      <c r="AK19" s="210">
        <f t="shared" si="19"/>
        <v>0.12</v>
      </c>
      <c r="AL19" s="210">
        <f t="shared" si="19"/>
        <v>0</v>
      </c>
      <c r="AM19" s="210">
        <f t="shared" si="19"/>
        <v>1.5</v>
      </c>
      <c r="AN19" s="210">
        <f t="shared" si="19"/>
        <v>0</v>
      </c>
      <c r="AO19" s="214">
        <f t="shared" si="19"/>
        <v>0</v>
      </c>
      <c r="AP19" s="215">
        <f t="shared" si="19"/>
        <v>6851.2999999999993</v>
      </c>
      <c r="AQ19" s="206">
        <f t="shared" si="5"/>
        <v>0.98060000000000003</v>
      </c>
      <c r="AR19" s="207">
        <f t="shared" si="6"/>
        <v>1.270909090909091</v>
      </c>
      <c r="AS19" s="208">
        <f>W19-'[1]16-12'!W18</f>
        <v>3.2000000000000028</v>
      </c>
      <c r="AT19" s="209">
        <f>AC19-'[1]16-12'!AC18</f>
        <v>2.08</v>
      </c>
    </row>
    <row r="20" spans="1:46">
      <c r="A20" s="197">
        <v>8</v>
      </c>
      <c r="B20" s="198" t="s">
        <v>77</v>
      </c>
      <c r="C20" s="199">
        <f t="shared" si="1"/>
        <v>105.756</v>
      </c>
      <c r="D20" s="210">
        <f>D353</f>
        <v>5.8529999999999998</v>
      </c>
      <c r="E20" s="210">
        <f t="shared" ref="E20:V20" si="20">E353</f>
        <v>23.164999999999999</v>
      </c>
      <c r="F20" s="210">
        <f t="shared" si="20"/>
        <v>65.420999999999992</v>
      </c>
      <c r="G20" s="210">
        <f t="shared" si="20"/>
        <v>10.617000000000001</v>
      </c>
      <c r="H20" s="210">
        <f t="shared" si="20"/>
        <v>0.7</v>
      </c>
      <c r="I20" s="211">
        <f t="shared" si="20"/>
        <v>17.756699999999999</v>
      </c>
      <c r="J20" s="210">
        <f t="shared" si="20"/>
        <v>9.3289999999999988</v>
      </c>
      <c r="K20" s="210">
        <f t="shared" si="20"/>
        <v>3.5430000000000001</v>
      </c>
      <c r="L20" s="210">
        <f t="shared" si="20"/>
        <v>4.68</v>
      </c>
      <c r="M20" s="210">
        <f t="shared" si="20"/>
        <v>0</v>
      </c>
      <c r="N20" s="210">
        <f t="shared" si="20"/>
        <v>0</v>
      </c>
      <c r="O20" s="210">
        <f t="shared" si="20"/>
        <v>1.1059999999999999</v>
      </c>
      <c r="P20" s="210">
        <f t="shared" si="20"/>
        <v>8.4276999999999997</v>
      </c>
      <c r="Q20" s="210">
        <f t="shared" si="20"/>
        <v>1.3240000000000001</v>
      </c>
      <c r="R20" s="210">
        <f t="shared" si="20"/>
        <v>6.0537000000000001</v>
      </c>
      <c r="S20" s="210">
        <f t="shared" si="20"/>
        <v>0.1</v>
      </c>
      <c r="T20" s="210">
        <f t="shared" si="20"/>
        <v>0.95000000000000007</v>
      </c>
      <c r="U20" s="210">
        <f t="shared" si="20"/>
        <v>0</v>
      </c>
      <c r="V20" s="203">
        <f t="shared" si="20"/>
        <v>14952.210686999997</v>
      </c>
      <c r="W20" s="204">
        <f t="shared" si="3"/>
        <v>108.28400000000002</v>
      </c>
      <c r="X20" s="219">
        <f t="shared" ref="X20:AP20" si="21">X353</f>
        <v>6.15</v>
      </c>
      <c r="Y20" s="219">
        <f t="shared" si="21"/>
        <v>15.920000000000002</v>
      </c>
      <c r="Z20" s="219">
        <f t="shared" si="21"/>
        <v>76.319000000000003</v>
      </c>
      <c r="AA20" s="219">
        <f t="shared" si="21"/>
        <v>9.2449999999999992</v>
      </c>
      <c r="AB20" s="219">
        <f t="shared" si="21"/>
        <v>0.65</v>
      </c>
      <c r="AC20" s="220">
        <f t="shared" si="21"/>
        <v>11.656000000000001</v>
      </c>
      <c r="AD20" s="213">
        <f t="shared" si="21"/>
        <v>1.7200000000000002</v>
      </c>
      <c r="AE20" s="210">
        <f t="shared" si="21"/>
        <v>1.32</v>
      </c>
      <c r="AF20" s="210">
        <f t="shared" si="21"/>
        <v>0.4</v>
      </c>
      <c r="AG20" s="210">
        <f t="shared" si="21"/>
        <v>0</v>
      </c>
      <c r="AH20" s="210">
        <f t="shared" si="21"/>
        <v>0</v>
      </c>
      <c r="AI20" s="210">
        <f t="shared" si="21"/>
        <v>0</v>
      </c>
      <c r="AJ20" s="213">
        <f t="shared" si="21"/>
        <v>1.6400000000000001</v>
      </c>
      <c r="AK20" s="210">
        <f t="shared" si="21"/>
        <v>0.5</v>
      </c>
      <c r="AL20" s="210">
        <f t="shared" si="21"/>
        <v>1.1400000000000001</v>
      </c>
      <c r="AM20" s="210">
        <f t="shared" si="21"/>
        <v>0</v>
      </c>
      <c r="AN20" s="210">
        <f t="shared" si="21"/>
        <v>0</v>
      </c>
      <c r="AO20" s="214">
        <f t="shared" si="21"/>
        <v>0</v>
      </c>
      <c r="AP20" s="221">
        <f t="shared" si="21"/>
        <v>15722.9</v>
      </c>
      <c r="AQ20" s="206">
        <f t="shared" si="5"/>
        <v>1.0239040810923259</v>
      </c>
      <c r="AR20" s="207">
        <f t="shared" si="6"/>
        <v>0.65642827777683921</v>
      </c>
      <c r="AS20" s="208">
        <f>W20-'[1]16-12'!W19</f>
        <v>9.1779999999999973</v>
      </c>
      <c r="AT20" s="209">
        <f>AC20-'[1]16-12'!AC19</f>
        <v>8.2959999999999994</v>
      </c>
    </row>
    <row r="21" spans="1:46">
      <c r="A21" s="197">
        <v>9</v>
      </c>
      <c r="B21" s="198" t="s">
        <v>85</v>
      </c>
      <c r="C21" s="199">
        <f t="shared" si="1"/>
        <v>34.949999999999996</v>
      </c>
      <c r="D21" s="210">
        <f>D439</f>
        <v>0</v>
      </c>
      <c r="E21" s="210">
        <f t="shared" ref="E21:V21" si="22">E439</f>
        <v>8.5500000000000007</v>
      </c>
      <c r="F21" s="210">
        <f t="shared" si="22"/>
        <v>12.6</v>
      </c>
      <c r="G21" s="210">
        <f t="shared" si="22"/>
        <v>13.4</v>
      </c>
      <c r="H21" s="210">
        <f t="shared" si="22"/>
        <v>0.4</v>
      </c>
      <c r="I21" s="211">
        <f t="shared" si="22"/>
        <v>42.129000000000012</v>
      </c>
      <c r="J21" s="210">
        <f t="shared" si="22"/>
        <v>8.82</v>
      </c>
      <c r="K21" s="210">
        <f t="shared" si="22"/>
        <v>6.92</v>
      </c>
      <c r="L21" s="210">
        <f t="shared" si="22"/>
        <v>1.9</v>
      </c>
      <c r="M21" s="210">
        <f t="shared" si="22"/>
        <v>0</v>
      </c>
      <c r="N21" s="210">
        <f t="shared" si="22"/>
        <v>0</v>
      </c>
      <c r="O21" s="210">
        <f t="shared" si="22"/>
        <v>0</v>
      </c>
      <c r="P21" s="210">
        <f t="shared" si="22"/>
        <v>33.308999999999997</v>
      </c>
      <c r="Q21" s="210">
        <f t="shared" si="22"/>
        <v>7.4110000000000005</v>
      </c>
      <c r="R21" s="210">
        <f t="shared" si="22"/>
        <v>5.4530000000000003</v>
      </c>
      <c r="S21" s="210">
        <f t="shared" si="22"/>
        <v>9.5500000000000007</v>
      </c>
      <c r="T21" s="210">
        <f t="shared" si="22"/>
        <v>10.895</v>
      </c>
      <c r="U21" s="210">
        <f t="shared" si="22"/>
        <v>0</v>
      </c>
      <c r="V21" s="203">
        <f t="shared" si="22"/>
        <v>7303.4410479999997</v>
      </c>
      <c r="W21" s="204">
        <f t="shared" si="3"/>
        <v>34.913000000000004</v>
      </c>
      <c r="X21" s="210">
        <f>X439</f>
        <v>1</v>
      </c>
      <c r="Y21" s="210">
        <f>Y439</f>
        <v>8.4960000000000004</v>
      </c>
      <c r="Z21" s="210">
        <f>Z439</f>
        <v>16.545999999999999</v>
      </c>
      <c r="AA21" s="210">
        <f>AA439</f>
        <v>8.6709999999999994</v>
      </c>
      <c r="AB21" s="210">
        <f>AB439</f>
        <v>0.2</v>
      </c>
      <c r="AC21" s="204">
        <f t="shared" si="12"/>
        <v>10.601999999999999</v>
      </c>
      <c r="AD21" s="213">
        <f t="shared" ref="AD21:AP21" si="23">AD439</f>
        <v>0.79500000000000004</v>
      </c>
      <c r="AE21" s="210">
        <f t="shared" si="23"/>
        <v>0.4</v>
      </c>
      <c r="AF21" s="210">
        <f t="shared" si="23"/>
        <v>0</v>
      </c>
      <c r="AG21" s="210">
        <f t="shared" si="23"/>
        <v>9.5000000000000001E-2</v>
      </c>
      <c r="AH21" s="210">
        <f t="shared" si="23"/>
        <v>0.3</v>
      </c>
      <c r="AI21" s="210">
        <f t="shared" si="23"/>
        <v>0</v>
      </c>
      <c r="AJ21" s="213">
        <f t="shared" si="23"/>
        <v>9.8069999999999986</v>
      </c>
      <c r="AK21" s="210">
        <f t="shared" si="23"/>
        <v>1.9949999999999999</v>
      </c>
      <c r="AL21" s="210">
        <f t="shared" si="23"/>
        <v>0</v>
      </c>
      <c r="AM21" s="210">
        <f t="shared" si="23"/>
        <v>7.04</v>
      </c>
      <c r="AN21" s="210">
        <f t="shared" si="23"/>
        <v>0.77200000000000002</v>
      </c>
      <c r="AO21" s="214">
        <f t="shared" si="23"/>
        <v>0</v>
      </c>
      <c r="AP21" s="221">
        <f t="shared" si="23"/>
        <v>5744.2000000000007</v>
      </c>
      <c r="AQ21" s="206">
        <f t="shared" si="5"/>
        <v>0.99894134477825491</v>
      </c>
      <c r="AR21" s="207">
        <f t="shared" si="6"/>
        <v>0.25165562913907275</v>
      </c>
      <c r="AS21" s="208">
        <f>W21-'[1]16-12'!W20</f>
        <v>5.7480000000000047</v>
      </c>
      <c r="AT21" s="209">
        <f>AC21-'[1]16-12'!AC20</f>
        <v>0</v>
      </c>
    </row>
    <row r="22" spans="1:46">
      <c r="A22" s="197">
        <v>10</v>
      </c>
      <c r="B22" s="198" t="s">
        <v>87</v>
      </c>
      <c r="C22" s="199">
        <f t="shared" si="1"/>
        <v>15.677</v>
      </c>
      <c r="D22" s="210">
        <f>D466</f>
        <v>0</v>
      </c>
      <c r="E22" s="210">
        <f t="shared" ref="E22:V22" si="24">E466</f>
        <v>3.371</v>
      </c>
      <c r="F22" s="210">
        <f t="shared" si="24"/>
        <v>10.805999999999999</v>
      </c>
      <c r="G22" s="210">
        <f t="shared" si="24"/>
        <v>1.5</v>
      </c>
      <c r="H22" s="210">
        <f t="shared" si="24"/>
        <v>0</v>
      </c>
      <c r="I22" s="211">
        <f t="shared" si="24"/>
        <v>14.835999999999999</v>
      </c>
      <c r="J22" s="210">
        <f t="shared" si="24"/>
        <v>0</v>
      </c>
      <c r="K22" s="210">
        <f t="shared" si="24"/>
        <v>0</v>
      </c>
      <c r="L22" s="210">
        <f t="shared" si="24"/>
        <v>0</v>
      </c>
      <c r="M22" s="210">
        <f t="shared" si="24"/>
        <v>0</v>
      </c>
      <c r="N22" s="210">
        <f t="shared" si="24"/>
        <v>0</v>
      </c>
      <c r="O22" s="210">
        <f t="shared" si="24"/>
        <v>0</v>
      </c>
      <c r="P22" s="210">
        <f t="shared" si="24"/>
        <v>14.835999999999999</v>
      </c>
      <c r="Q22" s="210">
        <f t="shared" si="24"/>
        <v>2.2829999999999999</v>
      </c>
      <c r="R22" s="210">
        <f t="shared" si="24"/>
        <v>0</v>
      </c>
      <c r="S22" s="210">
        <f t="shared" si="24"/>
        <v>3.65</v>
      </c>
      <c r="T22" s="210">
        <f t="shared" si="24"/>
        <v>8.9030000000000005</v>
      </c>
      <c r="U22" s="210">
        <f t="shared" si="24"/>
        <v>0</v>
      </c>
      <c r="V22" s="203">
        <f t="shared" si="24"/>
        <v>2847.031708</v>
      </c>
      <c r="W22" s="204">
        <f t="shared" si="3"/>
        <v>13.682</v>
      </c>
      <c r="X22" s="210">
        <f>X466</f>
        <v>0</v>
      </c>
      <c r="Y22" s="210">
        <f>Y466</f>
        <v>2.8739999999999997</v>
      </c>
      <c r="Z22" s="210">
        <f>Z466</f>
        <v>9.6210000000000004</v>
      </c>
      <c r="AA22" s="210">
        <f>AA466</f>
        <v>1.1870000000000001</v>
      </c>
      <c r="AB22" s="210">
        <f>AB466</f>
        <v>0</v>
      </c>
      <c r="AC22" s="204">
        <f t="shared" si="12"/>
        <v>12.689000000000002</v>
      </c>
      <c r="AD22" s="213">
        <f t="shared" ref="AD22:AP22" si="25">AD466</f>
        <v>0</v>
      </c>
      <c r="AE22" s="210">
        <f t="shared" si="25"/>
        <v>0</v>
      </c>
      <c r="AF22" s="210">
        <f t="shared" si="25"/>
        <v>0</v>
      </c>
      <c r="AG22" s="210">
        <f t="shared" si="25"/>
        <v>0</v>
      </c>
      <c r="AH22" s="210">
        <f t="shared" si="25"/>
        <v>0</v>
      </c>
      <c r="AI22" s="210">
        <f t="shared" si="25"/>
        <v>0</v>
      </c>
      <c r="AJ22" s="213">
        <f t="shared" si="25"/>
        <v>12.689000000000002</v>
      </c>
      <c r="AK22" s="210">
        <f t="shared" si="25"/>
        <v>0.52500000000000002</v>
      </c>
      <c r="AL22" s="210">
        <f t="shared" si="25"/>
        <v>0</v>
      </c>
      <c r="AM22" s="210">
        <f t="shared" si="25"/>
        <v>3.8690000000000002</v>
      </c>
      <c r="AN22" s="210">
        <f t="shared" si="25"/>
        <v>8.2949999999999999</v>
      </c>
      <c r="AO22" s="214">
        <f t="shared" si="25"/>
        <v>0</v>
      </c>
      <c r="AP22" s="211">
        <f t="shared" si="25"/>
        <v>2095.4</v>
      </c>
      <c r="AQ22" s="206">
        <f t="shared" si="5"/>
        <v>0.87274350960005109</v>
      </c>
      <c r="AR22" s="207">
        <f t="shared" si="6"/>
        <v>0.85528444324615815</v>
      </c>
      <c r="AS22" s="208">
        <f>W22-'[1]16-12'!W21</f>
        <v>3.8760000000000012</v>
      </c>
      <c r="AT22" s="209">
        <f>AC22-'[1]16-12'!AC21</f>
        <v>3.5580000000000016</v>
      </c>
    </row>
    <row r="23" spans="1:46">
      <c r="A23" s="197">
        <v>11</v>
      </c>
      <c r="B23" s="198" t="s">
        <v>188</v>
      </c>
      <c r="C23" s="199">
        <f t="shared" si="1"/>
        <v>6.74</v>
      </c>
      <c r="D23" s="210">
        <f>D233</f>
        <v>0</v>
      </c>
      <c r="E23" s="210">
        <f t="shared" ref="E23:V23" si="26">E233</f>
        <v>2.4500000000000002</v>
      </c>
      <c r="F23" s="210">
        <f t="shared" si="26"/>
        <v>0.39</v>
      </c>
      <c r="G23" s="210">
        <f t="shared" si="26"/>
        <v>3.9000000000000004</v>
      </c>
      <c r="H23" s="210">
        <f t="shared" si="26"/>
        <v>0</v>
      </c>
      <c r="I23" s="211">
        <f t="shared" si="26"/>
        <v>3.74</v>
      </c>
      <c r="J23" s="210">
        <f t="shared" si="26"/>
        <v>0</v>
      </c>
      <c r="K23" s="210">
        <f t="shared" si="26"/>
        <v>0</v>
      </c>
      <c r="L23" s="210">
        <f t="shared" si="26"/>
        <v>0</v>
      </c>
      <c r="M23" s="210">
        <f t="shared" si="26"/>
        <v>0</v>
      </c>
      <c r="N23" s="210">
        <f t="shared" si="26"/>
        <v>0</v>
      </c>
      <c r="O23" s="210">
        <f t="shared" si="26"/>
        <v>0</v>
      </c>
      <c r="P23" s="210">
        <f t="shared" si="26"/>
        <v>3.74</v>
      </c>
      <c r="Q23" s="210">
        <f t="shared" si="26"/>
        <v>0</v>
      </c>
      <c r="R23" s="210">
        <f t="shared" si="26"/>
        <v>0</v>
      </c>
      <c r="S23" s="210">
        <f t="shared" si="26"/>
        <v>3.74</v>
      </c>
      <c r="T23" s="210">
        <f t="shared" si="26"/>
        <v>0</v>
      </c>
      <c r="U23" s="210">
        <f t="shared" si="26"/>
        <v>0</v>
      </c>
      <c r="V23" s="203">
        <f t="shared" si="26"/>
        <v>1182.66464</v>
      </c>
      <c r="W23" s="204">
        <f t="shared" si="3"/>
        <v>3.8419999999999996</v>
      </c>
      <c r="X23" s="210">
        <f>X233</f>
        <v>0</v>
      </c>
      <c r="Y23" s="210">
        <f>Y233</f>
        <v>3.0419999999999998</v>
      </c>
      <c r="Z23" s="210">
        <f>Z233</f>
        <v>0</v>
      </c>
      <c r="AA23" s="210">
        <f>AA233</f>
        <v>0.8</v>
      </c>
      <c r="AB23" s="210">
        <f>AB233</f>
        <v>0</v>
      </c>
      <c r="AC23" s="216">
        <f t="shared" ref="AC23:AP23" si="27">AC233</f>
        <v>4.6280000000000001</v>
      </c>
      <c r="AD23" s="213">
        <f t="shared" si="27"/>
        <v>0</v>
      </c>
      <c r="AE23" s="210">
        <f t="shared" si="27"/>
        <v>0</v>
      </c>
      <c r="AF23" s="210">
        <f t="shared" si="27"/>
        <v>0</v>
      </c>
      <c r="AG23" s="210">
        <f t="shared" si="27"/>
        <v>0</v>
      </c>
      <c r="AH23" s="210">
        <f t="shared" si="27"/>
        <v>0</v>
      </c>
      <c r="AI23" s="210">
        <f t="shared" si="27"/>
        <v>0</v>
      </c>
      <c r="AJ23" s="213">
        <f t="shared" si="27"/>
        <v>2.5659999999999998</v>
      </c>
      <c r="AK23" s="210">
        <f t="shared" si="27"/>
        <v>0</v>
      </c>
      <c r="AL23" s="210">
        <f t="shared" si="27"/>
        <v>0</v>
      </c>
      <c r="AM23" s="210">
        <f t="shared" si="27"/>
        <v>2.5659999999999998</v>
      </c>
      <c r="AN23" s="210">
        <f t="shared" si="27"/>
        <v>0</v>
      </c>
      <c r="AO23" s="214">
        <f t="shared" si="27"/>
        <v>0</v>
      </c>
      <c r="AP23" s="211">
        <f t="shared" si="27"/>
        <v>988.06</v>
      </c>
      <c r="AQ23" s="206">
        <f t="shared" si="5"/>
        <v>0.57002967359050438</v>
      </c>
      <c r="AR23" s="207">
        <f t="shared" si="6"/>
        <v>1.2374331550802138</v>
      </c>
      <c r="AS23" s="208">
        <f>W23-'[1]16-12'!W22</f>
        <v>2.9689999999999994</v>
      </c>
      <c r="AT23" s="209">
        <f>AC23-'[1]16-12'!AC22</f>
        <v>2.0620000000000003</v>
      </c>
    </row>
    <row r="24" spans="1:46">
      <c r="A24" s="177" t="s">
        <v>26</v>
      </c>
      <c r="B24" s="188" t="s">
        <v>189</v>
      </c>
      <c r="C24" s="199">
        <f t="shared" ref="C24:AP24" si="28">+SUM(C25:C26)</f>
        <v>146.077</v>
      </c>
      <c r="D24" s="199">
        <f t="shared" si="28"/>
        <v>10.226000000000001</v>
      </c>
      <c r="E24" s="199">
        <f t="shared" si="28"/>
        <v>32.581000000000003</v>
      </c>
      <c r="F24" s="199">
        <f t="shared" si="28"/>
        <v>72.453999999999994</v>
      </c>
      <c r="G24" s="199">
        <f t="shared" si="28"/>
        <v>25.995999999999999</v>
      </c>
      <c r="H24" s="199">
        <f t="shared" si="28"/>
        <v>4.82</v>
      </c>
      <c r="I24" s="211">
        <f t="shared" si="28"/>
        <v>30.818000000000001</v>
      </c>
      <c r="J24" s="213">
        <f t="shared" si="28"/>
        <v>9.4979999999999993</v>
      </c>
      <c r="K24" s="199">
        <f t="shared" si="28"/>
        <v>3.5400000000000005</v>
      </c>
      <c r="L24" s="199">
        <f t="shared" si="28"/>
        <v>5.9580000000000002</v>
      </c>
      <c r="M24" s="199">
        <f t="shared" si="28"/>
        <v>0</v>
      </c>
      <c r="N24" s="199">
        <f t="shared" si="28"/>
        <v>0</v>
      </c>
      <c r="O24" s="199">
        <f t="shared" si="28"/>
        <v>0</v>
      </c>
      <c r="P24" s="213">
        <f t="shared" si="28"/>
        <v>21.32</v>
      </c>
      <c r="Q24" s="199">
        <f t="shared" si="28"/>
        <v>1.98</v>
      </c>
      <c r="R24" s="199">
        <f t="shared" si="28"/>
        <v>17.88</v>
      </c>
      <c r="S24" s="199">
        <f t="shared" si="28"/>
        <v>0.27</v>
      </c>
      <c r="T24" s="199">
        <f t="shared" si="28"/>
        <v>1.19</v>
      </c>
      <c r="U24" s="199">
        <f t="shared" si="28"/>
        <v>0</v>
      </c>
      <c r="V24" s="203">
        <f t="shared" si="28"/>
        <v>21288.100724000004</v>
      </c>
      <c r="W24" s="204">
        <f t="shared" si="28"/>
        <v>114.797</v>
      </c>
      <c r="X24" s="199">
        <f t="shared" si="28"/>
        <v>8.995000000000001</v>
      </c>
      <c r="Y24" s="199">
        <f t="shared" si="28"/>
        <v>21.216999999999999</v>
      </c>
      <c r="Z24" s="199">
        <f t="shared" si="28"/>
        <v>59.917999999999992</v>
      </c>
      <c r="AA24" s="199">
        <f t="shared" si="28"/>
        <v>21.266999999999999</v>
      </c>
      <c r="AB24" s="199">
        <f t="shared" si="28"/>
        <v>3.4</v>
      </c>
      <c r="AC24" s="204">
        <f t="shared" si="28"/>
        <v>10.687999999999999</v>
      </c>
      <c r="AD24" s="222">
        <f t="shared" si="28"/>
        <v>2.1680000000000001</v>
      </c>
      <c r="AE24" s="204">
        <f t="shared" si="28"/>
        <v>0.68599999999999994</v>
      </c>
      <c r="AF24" s="204">
        <f t="shared" si="28"/>
        <v>1.482</v>
      </c>
      <c r="AG24" s="204">
        <f t="shared" si="28"/>
        <v>0</v>
      </c>
      <c r="AH24" s="204">
        <f t="shared" si="28"/>
        <v>0</v>
      </c>
      <c r="AI24" s="204">
        <f t="shared" si="28"/>
        <v>0</v>
      </c>
      <c r="AJ24" s="222">
        <f t="shared" si="28"/>
        <v>5.82</v>
      </c>
      <c r="AK24" s="204">
        <f t="shared" si="28"/>
        <v>1.6529999999999998</v>
      </c>
      <c r="AL24" s="204">
        <f t="shared" si="28"/>
        <v>3.867</v>
      </c>
      <c r="AM24" s="204">
        <f t="shared" si="28"/>
        <v>0</v>
      </c>
      <c r="AN24" s="204">
        <f t="shared" si="28"/>
        <v>0.3</v>
      </c>
      <c r="AO24" s="204">
        <f t="shared" si="28"/>
        <v>0</v>
      </c>
      <c r="AP24" s="215">
        <f t="shared" si="28"/>
        <v>16580.313000000002</v>
      </c>
      <c r="AQ24" s="223"/>
      <c r="AR24" s="207"/>
      <c r="AS24" s="204">
        <f>+SUM(AS25:AS26)</f>
        <v>11.522000000000002</v>
      </c>
      <c r="AT24" s="204">
        <f>+SUM(AT25:AT26)</f>
        <v>4.1879999999999988</v>
      </c>
    </row>
    <row r="25" spans="1:46">
      <c r="A25" s="197">
        <v>12</v>
      </c>
      <c r="B25" s="198" t="s">
        <v>79</v>
      </c>
      <c r="C25" s="199">
        <f>+SUM(D25:H25)</f>
        <v>123.90300000000001</v>
      </c>
      <c r="D25" s="210">
        <f>D414</f>
        <v>10.226000000000001</v>
      </c>
      <c r="E25" s="210">
        <f t="shared" ref="E25:V25" si="29">E414</f>
        <v>29.547000000000001</v>
      </c>
      <c r="F25" s="210">
        <f t="shared" si="29"/>
        <v>67.11</v>
      </c>
      <c r="G25" s="210">
        <f t="shared" si="29"/>
        <v>13.45</v>
      </c>
      <c r="H25" s="210">
        <f t="shared" si="29"/>
        <v>3.57</v>
      </c>
      <c r="I25" s="211">
        <f t="shared" si="29"/>
        <v>23.718</v>
      </c>
      <c r="J25" s="210">
        <f t="shared" si="29"/>
        <v>5.8979999999999997</v>
      </c>
      <c r="K25" s="210">
        <f t="shared" si="29"/>
        <v>2.9400000000000004</v>
      </c>
      <c r="L25" s="210">
        <f t="shared" si="29"/>
        <v>2.9580000000000002</v>
      </c>
      <c r="M25" s="210">
        <f t="shared" si="29"/>
        <v>0</v>
      </c>
      <c r="N25" s="210">
        <f t="shared" si="29"/>
        <v>0</v>
      </c>
      <c r="O25" s="210">
        <f t="shared" si="29"/>
        <v>0</v>
      </c>
      <c r="P25" s="210">
        <f t="shared" si="29"/>
        <v>17.82</v>
      </c>
      <c r="Q25" s="210">
        <f t="shared" si="29"/>
        <v>1.98</v>
      </c>
      <c r="R25" s="210">
        <f t="shared" si="29"/>
        <v>14.68</v>
      </c>
      <c r="S25" s="210">
        <f t="shared" si="29"/>
        <v>0.27</v>
      </c>
      <c r="T25" s="210">
        <f t="shared" si="29"/>
        <v>0.89</v>
      </c>
      <c r="U25" s="210">
        <f t="shared" si="29"/>
        <v>0</v>
      </c>
      <c r="V25" s="203">
        <f t="shared" si="29"/>
        <v>18128.076164000002</v>
      </c>
      <c r="W25" s="204">
        <f>SUM(X25:AB25)</f>
        <v>92.623000000000005</v>
      </c>
      <c r="X25" s="210">
        <f t="shared" ref="X25:AP25" si="30">X414</f>
        <v>8.995000000000001</v>
      </c>
      <c r="Y25" s="210">
        <f t="shared" si="30"/>
        <v>18.183</v>
      </c>
      <c r="Z25" s="210">
        <f t="shared" si="30"/>
        <v>55.472999999999992</v>
      </c>
      <c r="AA25" s="210">
        <f t="shared" si="30"/>
        <v>7.8219999999999992</v>
      </c>
      <c r="AB25" s="210">
        <f t="shared" si="30"/>
        <v>2.15</v>
      </c>
      <c r="AC25" s="204">
        <f t="shared" si="30"/>
        <v>3.5880000000000001</v>
      </c>
      <c r="AD25" s="213">
        <f t="shared" si="30"/>
        <v>0.56799999999999995</v>
      </c>
      <c r="AE25" s="210">
        <f t="shared" si="30"/>
        <v>8.5999999999999993E-2</v>
      </c>
      <c r="AF25" s="210">
        <f t="shared" si="30"/>
        <v>0.48199999999999998</v>
      </c>
      <c r="AG25" s="210">
        <f t="shared" si="30"/>
        <v>0</v>
      </c>
      <c r="AH25" s="210">
        <f t="shared" si="30"/>
        <v>0</v>
      </c>
      <c r="AI25" s="210">
        <f t="shared" si="30"/>
        <v>0</v>
      </c>
      <c r="AJ25" s="213">
        <f t="shared" si="30"/>
        <v>3.02</v>
      </c>
      <c r="AK25" s="210">
        <f t="shared" si="30"/>
        <v>1.6529999999999998</v>
      </c>
      <c r="AL25" s="210">
        <f t="shared" si="30"/>
        <v>1.367</v>
      </c>
      <c r="AM25" s="210">
        <f t="shared" si="30"/>
        <v>0</v>
      </c>
      <c r="AN25" s="210">
        <f t="shared" si="30"/>
        <v>0</v>
      </c>
      <c r="AO25" s="214">
        <f t="shared" si="30"/>
        <v>0</v>
      </c>
      <c r="AP25" s="217">
        <f t="shared" si="30"/>
        <v>13420.300000000001</v>
      </c>
      <c r="AQ25" s="206">
        <f>W25/C25</f>
        <v>0.74754445009402515</v>
      </c>
      <c r="AR25" s="207">
        <f>AC25/I25</f>
        <v>0.15127751075132811</v>
      </c>
      <c r="AS25" s="208">
        <f>W25-'[1]16-12'!W24</f>
        <v>9.5480000000000018</v>
      </c>
      <c r="AT25" s="209">
        <f>AC25-'[1]16-12'!AC24</f>
        <v>1.488</v>
      </c>
    </row>
    <row r="26" spans="1:46">
      <c r="A26" s="197">
        <v>13</v>
      </c>
      <c r="B26" s="198" t="s">
        <v>83</v>
      </c>
      <c r="C26" s="199">
        <f>+SUM(D26:H26)</f>
        <v>22.173999999999999</v>
      </c>
      <c r="D26" s="210">
        <f>D377</f>
        <v>0</v>
      </c>
      <c r="E26" s="210">
        <f>E377</f>
        <v>3.0339999999999998</v>
      </c>
      <c r="F26" s="210">
        <f>F377</f>
        <v>5.3439999999999994</v>
      </c>
      <c r="G26" s="210">
        <f>G377</f>
        <v>12.545999999999999</v>
      </c>
      <c r="H26" s="210">
        <f>H377</f>
        <v>1.25</v>
      </c>
      <c r="I26" s="211">
        <f>'[2]Ranh dang ky'!C21</f>
        <v>7.1000000000000005</v>
      </c>
      <c r="J26" s="213">
        <f t="shared" ref="J26:V26" si="31">J377</f>
        <v>3.6</v>
      </c>
      <c r="K26" s="214">
        <f t="shared" si="31"/>
        <v>0.6</v>
      </c>
      <c r="L26" s="214">
        <f t="shared" si="31"/>
        <v>3</v>
      </c>
      <c r="M26" s="214">
        <f t="shared" si="31"/>
        <v>0</v>
      </c>
      <c r="N26" s="214">
        <f t="shared" si="31"/>
        <v>0</v>
      </c>
      <c r="O26" s="214">
        <f t="shared" si="31"/>
        <v>0</v>
      </c>
      <c r="P26" s="213">
        <f t="shared" si="31"/>
        <v>3.5</v>
      </c>
      <c r="Q26" s="214">
        <f t="shared" si="31"/>
        <v>0</v>
      </c>
      <c r="R26" s="214">
        <f t="shared" si="31"/>
        <v>3.2</v>
      </c>
      <c r="S26" s="214">
        <f t="shared" si="31"/>
        <v>0</v>
      </c>
      <c r="T26" s="214">
        <f t="shared" si="31"/>
        <v>0.3</v>
      </c>
      <c r="U26" s="214">
        <f t="shared" si="31"/>
        <v>0</v>
      </c>
      <c r="V26" s="203">
        <f t="shared" si="31"/>
        <v>3160.0245600000003</v>
      </c>
      <c r="W26" s="204">
        <f>SUM(X26:AB26)</f>
        <v>22.173999999999999</v>
      </c>
      <c r="X26" s="210">
        <f>X377</f>
        <v>0</v>
      </c>
      <c r="Y26" s="210">
        <f>Y377</f>
        <v>3.0339999999999998</v>
      </c>
      <c r="Z26" s="210">
        <f>Z377</f>
        <v>4.4450000000000003</v>
      </c>
      <c r="AA26" s="210">
        <f>AA377</f>
        <v>13.445</v>
      </c>
      <c r="AB26" s="210">
        <f>AB377</f>
        <v>1.25</v>
      </c>
      <c r="AC26" s="216">
        <f t="shared" ref="AC26:AP26" si="32">AC377</f>
        <v>7.1</v>
      </c>
      <c r="AD26" s="213">
        <f t="shared" si="32"/>
        <v>1.6</v>
      </c>
      <c r="AE26" s="210">
        <f t="shared" si="32"/>
        <v>0.6</v>
      </c>
      <c r="AF26" s="210">
        <f t="shared" si="32"/>
        <v>1</v>
      </c>
      <c r="AG26" s="210">
        <f t="shared" si="32"/>
        <v>0</v>
      </c>
      <c r="AH26" s="210">
        <f t="shared" si="32"/>
        <v>0</v>
      </c>
      <c r="AI26" s="210">
        <f t="shared" si="32"/>
        <v>0</v>
      </c>
      <c r="AJ26" s="213">
        <f t="shared" si="32"/>
        <v>2.8</v>
      </c>
      <c r="AK26" s="210">
        <f t="shared" si="32"/>
        <v>0</v>
      </c>
      <c r="AL26" s="210">
        <f t="shared" si="32"/>
        <v>2.5</v>
      </c>
      <c r="AM26" s="210">
        <f t="shared" si="32"/>
        <v>0</v>
      </c>
      <c r="AN26" s="210">
        <f t="shared" si="32"/>
        <v>0.3</v>
      </c>
      <c r="AO26" s="214">
        <f t="shared" si="32"/>
        <v>0</v>
      </c>
      <c r="AP26" s="215">
        <f t="shared" si="32"/>
        <v>3160.0129999999999</v>
      </c>
      <c r="AQ26" s="206">
        <f>W26/C26</f>
        <v>1</v>
      </c>
      <c r="AR26" s="207">
        <f>AC26/I26</f>
        <v>0.99999999999999989</v>
      </c>
      <c r="AS26" s="208">
        <f>W26-'[1]16-12'!W25</f>
        <v>1.9740000000000002</v>
      </c>
      <c r="AT26" s="209">
        <f>AC26-'[1]16-12'!AC25</f>
        <v>2.6999999999999993</v>
      </c>
    </row>
    <row r="27" spans="1:46">
      <c r="A27" s="224"/>
      <c r="B27" s="225" t="s">
        <v>2</v>
      </c>
      <c r="C27" s="199">
        <f t="shared" ref="C27:AP27" si="33">C12+C24</f>
        <v>757.47050000000002</v>
      </c>
      <c r="D27" s="199">
        <f t="shared" si="33"/>
        <v>26.509</v>
      </c>
      <c r="E27" s="199">
        <f t="shared" si="33"/>
        <v>182.39120000000003</v>
      </c>
      <c r="F27" s="199">
        <f t="shared" si="33"/>
        <v>392.255</v>
      </c>
      <c r="G27" s="199">
        <f t="shared" si="33"/>
        <v>145.14530000000002</v>
      </c>
      <c r="H27" s="199">
        <f t="shared" si="33"/>
        <v>11.170000000000002</v>
      </c>
      <c r="I27" s="211">
        <f>I12+I24</f>
        <v>374.26770000000005</v>
      </c>
      <c r="J27" s="213">
        <f t="shared" si="33"/>
        <v>83.88000000000001</v>
      </c>
      <c r="K27" s="199">
        <f t="shared" si="33"/>
        <v>43.02</v>
      </c>
      <c r="L27" s="199">
        <f t="shared" si="33"/>
        <v>23.548000000000002</v>
      </c>
      <c r="M27" s="199">
        <f t="shared" si="33"/>
        <v>5.9459999999999997</v>
      </c>
      <c r="N27" s="199">
        <f t="shared" si="33"/>
        <v>10.26</v>
      </c>
      <c r="O27" s="199">
        <f t="shared" si="33"/>
        <v>1.1059999999999999</v>
      </c>
      <c r="P27" s="213">
        <f t="shared" si="33"/>
        <v>290.3877</v>
      </c>
      <c r="Q27" s="199">
        <f t="shared" si="33"/>
        <v>68.704999999999998</v>
      </c>
      <c r="R27" s="199">
        <f t="shared" si="33"/>
        <v>79.671700000000001</v>
      </c>
      <c r="S27" s="199">
        <f t="shared" si="33"/>
        <v>47.743000000000009</v>
      </c>
      <c r="T27" s="199">
        <f t="shared" si="33"/>
        <v>94.268000000000001</v>
      </c>
      <c r="U27" s="199">
        <f t="shared" si="33"/>
        <v>0</v>
      </c>
      <c r="V27" s="203">
        <f t="shared" si="33"/>
        <v>122921.700474</v>
      </c>
      <c r="W27" s="204">
        <v>719.7</v>
      </c>
      <c r="X27" s="199">
        <f t="shared" si="33"/>
        <v>27.396000000000001</v>
      </c>
      <c r="Y27" s="199">
        <f t="shared" si="33"/>
        <v>138.57</v>
      </c>
      <c r="Z27" s="199">
        <f t="shared" si="33"/>
        <v>448.9701</v>
      </c>
      <c r="AA27" s="199">
        <f t="shared" si="33"/>
        <v>93.421400000000006</v>
      </c>
      <c r="AB27" s="199">
        <f t="shared" si="33"/>
        <v>5.3479999999999999</v>
      </c>
      <c r="AC27" s="204">
        <f t="shared" si="33"/>
        <v>159.54899999999998</v>
      </c>
      <c r="AD27" s="222">
        <f t="shared" si="33"/>
        <v>34.753</v>
      </c>
      <c r="AE27" s="204">
        <f t="shared" si="33"/>
        <v>17.434999999999995</v>
      </c>
      <c r="AF27" s="204">
        <f t="shared" si="33"/>
        <v>8.0560000000000009</v>
      </c>
      <c r="AG27" s="204">
        <f t="shared" si="33"/>
        <v>5.3950000000000005</v>
      </c>
      <c r="AH27" s="204">
        <f t="shared" si="33"/>
        <v>3.867</v>
      </c>
      <c r="AI27" s="204">
        <f t="shared" si="33"/>
        <v>0</v>
      </c>
      <c r="AJ27" s="222">
        <f t="shared" si="33"/>
        <v>111.43</v>
      </c>
      <c r="AK27" s="204">
        <f t="shared" si="33"/>
        <v>25.919</v>
      </c>
      <c r="AL27" s="204">
        <f t="shared" si="33"/>
        <v>38.958999999999996</v>
      </c>
      <c r="AM27" s="204">
        <f t="shared" si="33"/>
        <v>19.786000000000001</v>
      </c>
      <c r="AN27" s="204">
        <f t="shared" si="33"/>
        <v>26.765999999999995</v>
      </c>
      <c r="AO27" s="204">
        <f t="shared" si="33"/>
        <v>0</v>
      </c>
      <c r="AP27" s="215">
        <f t="shared" si="33"/>
        <v>103739.53567999997</v>
      </c>
      <c r="AQ27" s="332">
        <f>W27/C27</f>
        <v>0.95013601189749308</v>
      </c>
      <c r="AR27" s="226">
        <f>AC27/I27</f>
        <v>0.42629647175003338</v>
      </c>
      <c r="AS27" s="204">
        <f>AS24+AS12</f>
        <v>65.055499999999995</v>
      </c>
      <c r="AT27" s="227">
        <f>AT12+AT24</f>
        <v>15.037000000000006</v>
      </c>
    </row>
    <row r="28" spans="1:46">
      <c r="A28" s="228"/>
      <c r="D28" s="229"/>
      <c r="V28" s="230"/>
      <c r="X28" s="231"/>
      <c r="Y28" s="231"/>
      <c r="Z28" s="231"/>
      <c r="AA28" s="231"/>
      <c r="AB28" s="231"/>
      <c r="AC28" s="231"/>
    </row>
    <row r="29" spans="1:46" hidden="1">
      <c r="C29" s="229"/>
      <c r="V29" s="230"/>
    </row>
    <row r="30" spans="1:46" hidden="1">
      <c r="B30" s="560" t="s">
        <v>190</v>
      </c>
      <c r="C30" s="561"/>
      <c r="D30" s="561"/>
      <c r="E30" s="561"/>
      <c r="F30" s="561"/>
      <c r="V30" s="173" t="s">
        <v>191</v>
      </c>
      <c r="W30" s="174"/>
      <c r="X30" s="174"/>
      <c r="Y30" s="174"/>
      <c r="Z30" s="174"/>
      <c r="AA30" s="174"/>
      <c r="AB30" s="174"/>
      <c r="AC30" s="174"/>
      <c r="AD30" s="174"/>
      <c r="AE30" s="174"/>
      <c r="AF30" s="174"/>
      <c r="AG30" s="174"/>
      <c r="AH30" s="174"/>
      <c r="AI30" s="174"/>
      <c r="AJ30" s="174"/>
      <c r="AK30" s="174"/>
      <c r="AL30" s="174"/>
      <c r="AM30" s="174"/>
      <c r="AN30" s="174"/>
      <c r="AO30" s="174"/>
      <c r="AP30" s="174"/>
      <c r="AQ30" s="331"/>
    </row>
    <row r="31" spans="1:46" hidden="1">
      <c r="B31" s="558" t="s">
        <v>192</v>
      </c>
      <c r="C31" s="559"/>
      <c r="D31" s="559"/>
      <c r="E31" s="559"/>
      <c r="F31" s="559"/>
      <c r="V31" s="173" t="s">
        <v>193</v>
      </c>
      <c r="W31" s="174"/>
      <c r="X31" s="174"/>
      <c r="Y31" s="174"/>
      <c r="Z31" s="174"/>
      <c r="AA31" s="174"/>
      <c r="AB31" s="174"/>
      <c r="AC31" s="174"/>
      <c r="AD31" s="174"/>
      <c r="AE31" s="174"/>
      <c r="AF31" s="174"/>
      <c r="AG31" s="174"/>
      <c r="AH31" s="174"/>
      <c r="AI31" s="174"/>
      <c r="AJ31" s="174"/>
      <c r="AK31" s="174"/>
      <c r="AL31" s="174"/>
      <c r="AM31" s="174"/>
      <c r="AN31" s="174"/>
      <c r="AO31" s="174"/>
      <c r="AP31" s="174"/>
      <c r="AQ31" s="331"/>
    </row>
    <row r="32" spans="1:46" hidden="1">
      <c r="B32" s="172"/>
      <c r="C32" s="172"/>
      <c r="D32" s="172"/>
      <c r="E32" s="172"/>
      <c r="F32" s="172"/>
      <c r="V32" s="173"/>
      <c r="W32" s="174"/>
      <c r="X32" s="174"/>
      <c r="Y32" s="174"/>
      <c r="Z32" s="174"/>
      <c r="AA32" s="174"/>
      <c r="AB32" s="174"/>
      <c r="AC32" s="174"/>
      <c r="AD32" s="174"/>
      <c r="AE32" s="174"/>
      <c r="AF32" s="174"/>
      <c r="AG32" s="174"/>
      <c r="AH32" s="174"/>
      <c r="AI32" s="174"/>
      <c r="AJ32" s="174"/>
      <c r="AK32" s="174"/>
      <c r="AL32" s="174"/>
      <c r="AM32" s="174"/>
      <c r="AN32" s="174"/>
      <c r="AO32" s="174"/>
      <c r="AP32" s="174"/>
      <c r="AQ32" s="331"/>
    </row>
    <row r="33" spans="1:46" hidden="1">
      <c r="A33" s="542" t="str">
        <f>A5</f>
        <v>Biểu 5: KẾT QUẢ THỰC HIỆN KẾ HOẠCH LÀM ĐƯỜNG GTNT, RÃNH THOÁT NƯỚC THEO CƠ CHẾ HỖ TRỢ XI MĂNG ĐẾN NGÀY 19/12/2016</v>
      </c>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row>
    <row r="34" spans="1:46" hidden="1">
      <c r="A34" s="543"/>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row>
    <row r="35" spans="1:46" ht="14.25" hidden="1" customHeight="1">
      <c r="A35" s="544" t="s">
        <v>0</v>
      </c>
      <c r="B35" s="533" t="s">
        <v>161</v>
      </c>
      <c r="C35" s="546" t="s">
        <v>162</v>
      </c>
      <c r="D35" s="546"/>
      <c r="E35" s="546"/>
      <c r="F35" s="546"/>
      <c r="G35" s="546"/>
      <c r="H35" s="546"/>
      <c r="I35" s="546"/>
      <c r="J35" s="546"/>
      <c r="K35" s="546"/>
      <c r="L35" s="546"/>
      <c r="M35" s="546"/>
      <c r="N35" s="546"/>
      <c r="O35" s="546"/>
      <c r="P35" s="546"/>
      <c r="Q35" s="546"/>
      <c r="R35" s="546"/>
      <c r="S35" s="546"/>
      <c r="T35" s="546"/>
      <c r="U35" s="546"/>
      <c r="V35" s="546"/>
      <c r="W35" s="547" t="s">
        <v>163</v>
      </c>
      <c r="X35" s="547"/>
      <c r="Y35" s="547"/>
      <c r="Z35" s="547"/>
      <c r="AA35" s="547"/>
      <c r="AB35" s="547"/>
      <c r="AC35" s="547"/>
      <c r="AD35" s="547"/>
      <c r="AE35" s="547"/>
      <c r="AF35" s="547"/>
      <c r="AG35" s="547"/>
      <c r="AH35" s="547"/>
      <c r="AI35" s="547"/>
      <c r="AJ35" s="547"/>
      <c r="AK35" s="547"/>
      <c r="AL35" s="547"/>
      <c r="AM35" s="547"/>
      <c r="AN35" s="547"/>
      <c r="AO35" s="547"/>
      <c r="AP35" s="547"/>
      <c r="AQ35" s="547" t="s">
        <v>164</v>
      </c>
      <c r="AR35" s="547"/>
      <c r="AS35" s="547" t="s">
        <v>165</v>
      </c>
      <c r="AT35" s="547"/>
    </row>
    <row r="36" spans="1:46" ht="15" hidden="1" customHeight="1">
      <c r="A36" s="545"/>
      <c r="B36" s="534"/>
      <c r="C36" s="533" t="s">
        <v>166</v>
      </c>
      <c r="D36" s="536" t="s">
        <v>167</v>
      </c>
      <c r="E36" s="536"/>
      <c r="F36" s="536"/>
      <c r="G36" s="536"/>
      <c r="H36" s="536"/>
      <c r="I36" s="533" t="s">
        <v>168</v>
      </c>
      <c r="J36" s="537" t="s">
        <v>167</v>
      </c>
      <c r="K36" s="537"/>
      <c r="L36" s="537"/>
      <c r="M36" s="537"/>
      <c r="N36" s="537"/>
      <c r="O36" s="537"/>
      <c r="P36" s="537"/>
      <c r="Q36" s="537"/>
      <c r="R36" s="537"/>
      <c r="S36" s="537"/>
      <c r="T36" s="537"/>
      <c r="U36" s="537"/>
      <c r="V36" s="552" t="s">
        <v>169</v>
      </c>
      <c r="W36" s="533" t="s">
        <v>170</v>
      </c>
      <c r="X36" s="555" t="s">
        <v>167</v>
      </c>
      <c r="Y36" s="555"/>
      <c r="Z36" s="555"/>
      <c r="AA36" s="555"/>
      <c r="AB36" s="555"/>
      <c r="AC36" s="533" t="s">
        <v>168</v>
      </c>
      <c r="AD36" s="537" t="s">
        <v>167</v>
      </c>
      <c r="AE36" s="537"/>
      <c r="AF36" s="537"/>
      <c r="AG36" s="537"/>
      <c r="AH36" s="537"/>
      <c r="AI36" s="537"/>
      <c r="AJ36" s="537"/>
      <c r="AK36" s="537"/>
      <c r="AL36" s="537"/>
      <c r="AM36" s="537"/>
      <c r="AN36" s="537"/>
      <c r="AO36" s="537"/>
      <c r="AP36" s="552" t="s">
        <v>171</v>
      </c>
      <c r="AQ36" s="548" t="s">
        <v>172</v>
      </c>
      <c r="AR36" s="548" t="s">
        <v>173</v>
      </c>
      <c r="AS36" s="548" t="s">
        <v>170</v>
      </c>
      <c r="AT36" s="548" t="s">
        <v>168</v>
      </c>
    </row>
    <row r="37" spans="1:46" ht="15" hidden="1" customHeight="1">
      <c r="A37" s="545"/>
      <c r="B37" s="534"/>
      <c r="C37" s="534"/>
      <c r="D37" s="552" t="s">
        <v>174</v>
      </c>
      <c r="E37" s="552" t="s">
        <v>175</v>
      </c>
      <c r="F37" s="552" t="s">
        <v>176</v>
      </c>
      <c r="G37" s="552" t="s">
        <v>177</v>
      </c>
      <c r="H37" s="552" t="s">
        <v>178</v>
      </c>
      <c r="I37" s="534"/>
      <c r="J37" s="537" t="s">
        <v>179</v>
      </c>
      <c r="K37" s="537"/>
      <c r="L37" s="537"/>
      <c r="M37" s="537"/>
      <c r="N37" s="537"/>
      <c r="O37" s="537"/>
      <c r="P37" s="537" t="s">
        <v>180</v>
      </c>
      <c r="Q37" s="537"/>
      <c r="R37" s="537"/>
      <c r="S37" s="537"/>
      <c r="T37" s="537"/>
      <c r="U37" s="537"/>
      <c r="V37" s="553"/>
      <c r="W37" s="534"/>
      <c r="X37" s="552" t="s">
        <v>174</v>
      </c>
      <c r="Y37" s="552" t="s">
        <v>175</v>
      </c>
      <c r="Z37" s="552" t="s">
        <v>176</v>
      </c>
      <c r="AA37" s="552" t="s">
        <v>177</v>
      </c>
      <c r="AB37" s="552" t="s">
        <v>178</v>
      </c>
      <c r="AC37" s="534"/>
      <c r="AD37" s="537" t="s">
        <v>179</v>
      </c>
      <c r="AE37" s="537"/>
      <c r="AF37" s="537"/>
      <c r="AG37" s="537"/>
      <c r="AH37" s="537"/>
      <c r="AI37" s="537"/>
      <c r="AJ37" s="537" t="s">
        <v>180</v>
      </c>
      <c r="AK37" s="537"/>
      <c r="AL37" s="537"/>
      <c r="AM37" s="537"/>
      <c r="AN37" s="537"/>
      <c r="AO37" s="537"/>
      <c r="AP37" s="553"/>
      <c r="AQ37" s="549"/>
      <c r="AR37" s="549"/>
      <c r="AS37" s="549"/>
      <c r="AT37" s="549"/>
    </row>
    <row r="38" spans="1:46" ht="15.5" hidden="1">
      <c r="A38" s="179"/>
      <c r="B38" s="534"/>
      <c r="C38" s="534"/>
      <c r="D38" s="553"/>
      <c r="E38" s="553"/>
      <c r="F38" s="553"/>
      <c r="G38" s="553"/>
      <c r="H38" s="553"/>
      <c r="I38" s="534"/>
      <c r="J38" s="556" t="s">
        <v>1</v>
      </c>
      <c r="K38" s="551" t="s">
        <v>181</v>
      </c>
      <c r="L38" s="551"/>
      <c r="M38" s="551" t="s">
        <v>182</v>
      </c>
      <c r="N38" s="551"/>
      <c r="O38" s="551" t="s">
        <v>183</v>
      </c>
      <c r="P38" s="556" t="s">
        <v>1</v>
      </c>
      <c r="Q38" s="551" t="s">
        <v>181</v>
      </c>
      <c r="R38" s="551"/>
      <c r="S38" s="551" t="s">
        <v>182</v>
      </c>
      <c r="T38" s="551"/>
      <c r="U38" s="551" t="s">
        <v>183</v>
      </c>
      <c r="V38" s="553"/>
      <c r="W38" s="534"/>
      <c r="X38" s="553"/>
      <c r="Y38" s="553"/>
      <c r="Z38" s="553"/>
      <c r="AA38" s="553"/>
      <c r="AB38" s="553"/>
      <c r="AC38" s="534"/>
      <c r="AD38" s="556" t="s">
        <v>1</v>
      </c>
      <c r="AE38" s="551" t="s">
        <v>181</v>
      </c>
      <c r="AF38" s="551"/>
      <c r="AG38" s="551" t="s">
        <v>182</v>
      </c>
      <c r="AH38" s="551"/>
      <c r="AI38" s="551" t="s">
        <v>183</v>
      </c>
      <c r="AJ38" s="556" t="s">
        <v>1</v>
      </c>
      <c r="AK38" s="551" t="s">
        <v>181</v>
      </c>
      <c r="AL38" s="551"/>
      <c r="AM38" s="551" t="s">
        <v>182</v>
      </c>
      <c r="AN38" s="551"/>
      <c r="AO38" s="551" t="s">
        <v>183</v>
      </c>
      <c r="AP38" s="553"/>
      <c r="AQ38" s="549"/>
      <c r="AR38" s="549"/>
      <c r="AS38" s="549"/>
      <c r="AT38" s="549"/>
    </row>
    <row r="39" spans="1:46" ht="90" hidden="1" customHeight="1">
      <c r="A39" s="179"/>
      <c r="B39" s="535"/>
      <c r="C39" s="535"/>
      <c r="D39" s="554"/>
      <c r="E39" s="554"/>
      <c r="F39" s="554"/>
      <c r="G39" s="554"/>
      <c r="H39" s="554"/>
      <c r="I39" s="535"/>
      <c r="J39" s="557"/>
      <c r="K39" s="186" t="s">
        <v>184</v>
      </c>
      <c r="L39" s="186" t="s">
        <v>185</v>
      </c>
      <c r="M39" s="186" t="s">
        <v>184</v>
      </c>
      <c r="N39" s="186" t="s">
        <v>185</v>
      </c>
      <c r="O39" s="551"/>
      <c r="P39" s="557"/>
      <c r="Q39" s="186" t="s">
        <v>184</v>
      </c>
      <c r="R39" s="186" t="s">
        <v>185</v>
      </c>
      <c r="S39" s="186" t="s">
        <v>184</v>
      </c>
      <c r="T39" s="186" t="s">
        <v>185</v>
      </c>
      <c r="U39" s="551"/>
      <c r="V39" s="554"/>
      <c r="W39" s="535"/>
      <c r="X39" s="554"/>
      <c r="Y39" s="554"/>
      <c r="Z39" s="554"/>
      <c r="AA39" s="554"/>
      <c r="AB39" s="554"/>
      <c r="AC39" s="535"/>
      <c r="AD39" s="557"/>
      <c r="AE39" s="186" t="s">
        <v>184</v>
      </c>
      <c r="AF39" s="186" t="s">
        <v>185</v>
      </c>
      <c r="AG39" s="186" t="s">
        <v>184</v>
      </c>
      <c r="AH39" s="186" t="s">
        <v>185</v>
      </c>
      <c r="AI39" s="551"/>
      <c r="AJ39" s="557"/>
      <c r="AK39" s="186" t="s">
        <v>184</v>
      </c>
      <c r="AL39" s="186" t="s">
        <v>185</v>
      </c>
      <c r="AM39" s="186" t="s">
        <v>184</v>
      </c>
      <c r="AN39" s="186" t="s">
        <v>185</v>
      </c>
      <c r="AO39" s="551"/>
      <c r="AP39" s="554"/>
      <c r="AQ39" s="550"/>
      <c r="AR39" s="550"/>
      <c r="AS39" s="550"/>
      <c r="AT39" s="550"/>
    </row>
    <row r="40" spans="1:46" hidden="1">
      <c r="A40" s="232">
        <v>1</v>
      </c>
      <c r="B40" s="233" t="s">
        <v>194</v>
      </c>
      <c r="C40" s="234">
        <f t="shared" ref="C40:C60" si="34">SUM(D40:H40)</f>
        <v>4.3360000000000003</v>
      </c>
      <c r="D40" s="234"/>
      <c r="E40" s="234">
        <v>3.24</v>
      </c>
      <c r="F40" s="234">
        <v>1.0960000000000001</v>
      </c>
      <c r="G40" s="234"/>
      <c r="H40" s="234"/>
      <c r="I40" s="235">
        <f t="shared" ref="I40:I60" si="35">J40+P40</f>
        <v>4.3099999999999996</v>
      </c>
      <c r="J40" s="236">
        <f t="shared" ref="J40:J60" si="36">SUM(K40:O40)</f>
        <v>1.2</v>
      </c>
      <c r="K40" s="237"/>
      <c r="L40" s="237">
        <v>1.2</v>
      </c>
      <c r="M40" s="237"/>
      <c r="N40" s="237"/>
      <c r="O40" s="237"/>
      <c r="P40" s="236">
        <f t="shared" ref="P40:P60" si="37">SUM(Q40:U40)</f>
        <v>3.11</v>
      </c>
      <c r="Q40" s="237"/>
      <c r="R40" s="237">
        <v>3.11</v>
      </c>
      <c r="S40" s="237"/>
      <c r="T40" s="237"/>
      <c r="U40" s="237"/>
      <c r="V40" s="238">
        <f t="shared" ref="V40:V60" si="38">D40*194.67+E40*173.04+F40*111.72+G40*111.72+H40*127.68+K40*86.255+L40*71.648+M40*84.489+N40*58.258+O40*53.065+Q40*72.658+R40*60.9+S40*74.716+T40*50.578+U40*46.62</f>
        <v>958.47131999999999</v>
      </c>
      <c r="W40" s="227">
        <f t="shared" ref="W40:W60" si="39">SUM(X40:AB40)</f>
        <v>5.3029999999999999</v>
      </c>
      <c r="X40" s="237"/>
      <c r="Y40" s="237">
        <v>3.3919999999999999</v>
      </c>
      <c r="Z40" s="237">
        <v>1.911</v>
      </c>
      <c r="AA40" s="237"/>
      <c r="AB40" s="237"/>
      <c r="AC40" s="227">
        <v>3.3</v>
      </c>
      <c r="AD40" s="239">
        <f t="shared" ref="AD40:AD60" si="40">SUM(AE40:AI40)</f>
        <v>0</v>
      </c>
      <c r="AE40" s="237"/>
      <c r="AF40" s="237"/>
      <c r="AG40" s="237"/>
      <c r="AH40" s="237"/>
      <c r="AI40" s="237"/>
      <c r="AJ40" s="239">
        <f t="shared" ref="AJ40:AJ60" si="41">SUM(AK40:AO40)</f>
        <v>3.3</v>
      </c>
      <c r="AK40" s="237"/>
      <c r="AL40" s="237">
        <v>3.3</v>
      </c>
      <c r="AM40" s="237"/>
      <c r="AN40" s="237"/>
      <c r="AO40" s="237"/>
      <c r="AP40" s="196">
        <v>999</v>
      </c>
      <c r="AQ40" s="334">
        <f t="shared" ref="AQ40:AQ60" si="42">W40/C40</f>
        <v>1.2230166051660516</v>
      </c>
      <c r="AR40" s="207">
        <f>AC40/I40</f>
        <v>0.76566125290023201</v>
      </c>
      <c r="AS40" s="196"/>
      <c r="AT40" s="196"/>
    </row>
    <row r="41" spans="1:46" hidden="1">
      <c r="A41" s="232">
        <f t="shared" ref="A41:A59" si="43">A40+1</f>
        <v>2</v>
      </c>
      <c r="B41" s="233" t="s">
        <v>195</v>
      </c>
      <c r="C41" s="234">
        <f t="shared" si="34"/>
        <v>3.302</v>
      </c>
      <c r="D41" s="234"/>
      <c r="E41" s="234">
        <v>0.44700000000000001</v>
      </c>
      <c r="F41" s="234">
        <v>1.385</v>
      </c>
      <c r="G41" s="234">
        <v>1.47</v>
      </c>
      <c r="H41" s="234"/>
      <c r="I41" s="235">
        <f t="shared" si="35"/>
        <v>5.9399999999999995</v>
      </c>
      <c r="J41" s="236">
        <f t="shared" si="36"/>
        <v>1.72</v>
      </c>
      <c r="K41" s="237">
        <v>0.32</v>
      </c>
      <c r="L41" s="237">
        <v>1.4</v>
      </c>
      <c r="M41" s="237"/>
      <c r="N41" s="237"/>
      <c r="O41" s="237"/>
      <c r="P41" s="236">
        <f t="shared" si="37"/>
        <v>4.22</v>
      </c>
      <c r="Q41" s="237"/>
      <c r="R41" s="237">
        <v>4.22</v>
      </c>
      <c r="S41" s="237"/>
      <c r="T41" s="237"/>
      <c r="U41" s="237"/>
      <c r="V41" s="238">
        <f t="shared" si="38"/>
        <v>781.2162800000001</v>
      </c>
      <c r="W41" s="227">
        <f t="shared" si="39"/>
        <v>0.35</v>
      </c>
      <c r="X41" s="237"/>
      <c r="Y41" s="237"/>
      <c r="Z41" s="237">
        <v>0.15</v>
      </c>
      <c r="AA41" s="237">
        <v>0.2</v>
      </c>
      <c r="AB41" s="237"/>
      <c r="AC41" s="227"/>
      <c r="AD41" s="239">
        <f t="shared" si="40"/>
        <v>0</v>
      </c>
      <c r="AE41" s="237"/>
      <c r="AF41" s="237"/>
      <c r="AG41" s="237"/>
      <c r="AH41" s="237"/>
      <c r="AI41" s="237"/>
      <c r="AJ41" s="239">
        <f t="shared" si="41"/>
        <v>0</v>
      </c>
      <c r="AK41" s="237"/>
      <c r="AL41" s="237"/>
      <c r="AM41" s="237"/>
      <c r="AN41" s="237"/>
      <c r="AO41" s="237"/>
      <c r="AP41" s="196">
        <v>51</v>
      </c>
      <c r="AQ41" s="334">
        <f t="shared" si="42"/>
        <v>0.10599636583888551</v>
      </c>
      <c r="AR41" s="207">
        <f>AC41/I41</f>
        <v>0</v>
      </c>
      <c r="AS41" s="196"/>
      <c r="AT41" s="196"/>
    </row>
    <row r="42" spans="1:46" hidden="1">
      <c r="A42" s="232">
        <f t="shared" si="43"/>
        <v>3</v>
      </c>
      <c r="B42" s="233" t="s">
        <v>196</v>
      </c>
      <c r="C42" s="234">
        <f t="shared" si="34"/>
        <v>2.9849999999999999</v>
      </c>
      <c r="D42" s="234"/>
      <c r="E42" s="234">
        <v>0.747</v>
      </c>
      <c r="F42" s="234">
        <v>2.238</v>
      </c>
      <c r="G42" s="234"/>
      <c r="H42" s="234"/>
      <c r="I42" s="235">
        <f t="shared" si="35"/>
        <v>1.43</v>
      </c>
      <c r="J42" s="236">
        <f t="shared" si="36"/>
        <v>0</v>
      </c>
      <c r="K42" s="237"/>
      <c r="L42" s="237"/>
      <c r="M42" s="237"/>
      <c r="N42" s="237"/>
      <c r="O42" s="237"/>
      <c r="P42" s="236">
        <f t="shared" si="37"/>
        <v>1.43</v>
      </c>
      <c r="Q42" s="237"/>
      <c r="R42" s="237">
        <v>1.43</v>
      </c>
      <c r="S42" s="237"/>
      <c r="T42" s="237"/>
      <c r="U42" s="237"/>
      <c r="V42" s="238">
        <f t="shared" si="38"/>
        <v>466.37723999999997</v>
      </c>
      <c r="W42" s="227">
        <f t="shared" si="39"/>
        <v>2.3250000000000002</v>
      </c>
      <c r="X42" s="237"/>
      <c r="Y42" s="237">
        <v>0.35499999999999998</v>
      </c>
      <c r="Z42" s="237">
        <v>1.97</v>
      </c>
      <c r="AA42" s="237"/>
      <c r="AB42" s="237"/>
      <c r="AC42" s="227"/>
      <c r="AD42" s="239">
        <f t="shared" si="40"/>
        <v>0</v>
      </c>
      <c r="AE42" s="237"/>
      <c r="AF42" s="237"/>
      <c r="AG42" s="237"/>
      <c r="AH42" s="237"/>
      <c r="AI42" s="237"/>
      <c r="AJ42" s="239">
        <f t="shared" si="41"/>
        <v>0</v>
      </c>
      <c r="AK42" s="237"/>
      <c r="AL42" s="237"/>
      <c r="AM42" s="237"/>
      <c r="AN42" s="237"/>
      <c r="AO42" s="237"/>
      <c r="AP42" s="196">
        <v>370</v>
      </c>
      <c r="AQ42" s="334">
        <f t="shared" si="42"/>
        <v>0.77889447236180909</v>
      </c>
      <c r="AR42" s="207">
        <f>AC42/I42</f>
        <v>0</v>
      </c>
      <c r="AS42" s="196"/>
      <c r="AT42" s="196"/>
    </row>
    <row r="43" spans="1:46" hidden="1">
      <c r="A43" s="232">
        <f t="shared" si="43"/>
        <v>4</v>
      </c>
      <c r="B43" s="233" t="s">
        <v>197</v>
      </c>
      <c r="C43" s="234">
        <f t="shared" si="34"/>
        <v>3.5859999999999999</v>
      </c>
      <c r="D43" s="234"/>
      <c r="E43" s="234">
        <v>0.84799999999999998</v>
      </c>
      <c r="F43" s="234">
        <v>2.6179999999999999</v>
      </c>
      <c r="G43" s="234">
        <v>0.12</v>
      </c>
      <c r="H43" s="234"/>
      <c r="I43" s="235">
        <f t="shared" si="35"/>
        <v>3.2800000000000002</v>
      </c>
      <c r="J43" s="236">
        <f t="shared" si="36"/>
        <v>1.6500000000000001</v>
      </c>
      <c r="K43" s="237">
        <v>1.1000000000000001</v>
      </c>
      <c r="L43" s="237"/>
      <c r="M43" s="237">
        <v>0.55000000000000004</v>
      </c>
      <c r="N43" s="237"/>
      <c r="O43" s="237"/>
      <c r="P43" s="236">
        <f t="shared" si="37"/>
        <v>1.63</v>
      </c>
      <c r="Q43" s="237">
        <v>0.3</v>
      </c>
      <c r="R43" s="237">
        <v>0.65</v>
      </c>
      <c r="S43" s="237"/>
      <c r="T43" s="237">
        <v>0.68</v>
      </c>
      <c r="U43" s="237"/>
      <c r="V43" s="238">
        <f t="shared" si="38"/>
        <v>689.75217000000021</v>
      </c>
      <c r="W43" s="227">
        <f t="shared" si="39"/>
        <v>3.5760000000000005</v>
      </c>
      <c r="X43" s="237"/>
      <c r="Y43" s="237">
        <v>0.748</v>
      </c>
      <c r="Z43" s="237">
        <v>2.7080000000000002</v>
      </c>
      <c r="AA43" s="237">
        <v>0.12</v>
      </c>
      <c r="AB43" s="237"/>
      <c r="AC43" s="227">
        <v>3.67</v>
      </c>
      <c r="AD43" s="239">
        <f t="shared" si="40"/>
        <v>1.6500000000000001</v>
      </c>
      <c r="AE43" s="237">
        <v>1.1000000000000001</v>
      </c>
      <c r="AF43" s="237"/>
      <c r="AG43" s="237">
        <v>0.55000000000000004</v>
      </c>
      <c r="AH43" s="237"/>
      <c r="AI43" s="237"/>
      <c r="AJ43" s="239">
        <f t="shared" si="41"/>
        <v>2.02</v>
      </c>
      <c r="AK43" s="237">
        <v>1</v>
      </c>
      <c r="AL43" s="237">
        <v>0.8</v>
      </c>
      <c r="AM43" s="237"/>
      <c r="AN43" s="237">
        <v>0.22</v>
      </c>
      <c r="AO43" s="237"/>
      <c r="AP43" s="196">
        <v>781</v>
      </c>
      <c r="AQ43" s="334">
        <f t="shared" si="42"/>
        <v>0.99721137757947598</v>
      </c>
      <c r="AR43" s="207">
        <f>AC43/I43</f>
        <v>1.1189024390243902</v>
      </c>
      <c r="AS43" s="196"/>
      <c r="AT43" s="196"/>
    </row>
    <row r="44" spans="1:46" hidden="1">
      <c r="A44" s="232">
        <f t="shared" si="43"/>
        <v>5</v>
      </c>
      <c r="B44" s="233" t="s">
        <v>198</v>
      </c>
      <c r="C44" s="234">
        <f t="shared" si="34"/>
        <v>6.867</v>
      </c>
      <c r="D44" s="234">
        <v>0.7</v>
      </c>
      <c r="E44" s="234">
        <v>0.64</v>
      </c>
      <c r="F44" s="234">
        <v>5.4649999999999999</v>
      </c>
      <c r="G44" s="234">
        <v>6.2E-2</v>
      </c>
      <c r="H44" s="234"/>
      <c r="I44" s="235">
        <f t="shared" si="35"/>
        <v>0</v>
      </c>
      <c r="J44" s="236">
        <f t="shared" si="36"/>
        <v>0</v>
      </c>
      <c r="K44" s="237"/>
      <c r="L44" s="237"/>
      <c r="M44" s="237"/>
      <c r="N44" s="237"/>
      <c r="O44" s="237"/>
      <c r="P44" s="236">
        <f t="shared" si="37"/>
        <v>0</v>
      </c>
      <c r="Q44" s="237"/>
      <c r="R44" s="237"/>
      <c r="S44" s="237"/>
      <c r="T44" s="237"/>
      <c r="U44" s="237"/>
      <c r="V44" s="238">
        <f t="shared" si="38"/>
        <v>864.49104</v>
      </c>
      <c r="W44" s="227">
        <f t="shared" si="39"/>
        <v>7.0859999999999994</v>
      </c>
      <c r="X44" s="237"/>
      <c r="Y44" s="237">
        <v>0.66700000000000004</v>
      </c>
      <c r="Z44" s="237">
        <v>6.2919999999999998</v>
      </c>
      <c r="AA44" s="237">
        <v>0.127</v>
      </c>
      <c r="AB44" s="237"/>
      <c r="AC44" s="227">
        <v>2</v>
      </c>
      <c r="AD44" s="239">
        <f t="shared" si="40"/>
        <v>0</v>
      </c>
      <c r="AE44" s="237"/>
      <c r="AF44" s="237"/>
      <c r="AG44" s="237"/>
      <c r="AH44" s="237"/>
      <c r="AI44" s="237"/>
      <c r="AJ44" s="239">
        <f t="shared" si="41"/>
        <v>0</v>
      </c>
      <c r="AK44" s="237"/>
      <c r="AL44" s="237"/>
      <c r="AM44" s="237"/>
      <c r="AN44" s="237"/>
      <c r="AO44" s="237"/>
      <c r="AP44" s="196">
        <v>1199</v>
      </c>
      <c r="AQ44" s="334">
        <f t="shared" si="42"/>
        <v>1.0318916557448667</v>
      </c>
      <c r="AR44" s="207"/>
      <c r="AS44" s="196"/>
      <c r="AT44" s="196"/>
    </row>
    <row r="45" spans="1:46" hidden="1">
      <c r="A45" s="232">
        <f t="shared" si="43"/>
        <v>6</v>
      </c>
      <c r="B45" s="233" t="s">
        <v>199</v>
      </c>
      <c r="C45" s="234">
        <f t="shared" si="34"/>
        <v>3.1</v>
      </c>
      <c r="D45" s="234"/>
      <c r="E45" s="234">
        <v>0.6</v>
      </c>
      <c r="F45" s="234">
        <v>2.5</v>
      </c>
      <c r="G45" s="234"/>
      <c r="H45" s="234"/>
      <c r="I45" s="235">
        <f t="shared" si="35"/>
        <v>0</v>
      </c>
      <c r="J45" s="236">
        <f t="shared" si="36"/>
        <v>0</v>
      </c>
      <c r="K45" s="237"/>
      <c r="L45" s="237"/>
      <c r="M45" s="237"/>
      <c r="N45" s="237"/>
      <c r="O45" s="237"/>
      <c r="P45" s="236">
        <f t="shared" si="37"/>
        <v>0</v>
      </c>
      <c r="Q45" s="237"/>
      <c r="R45" s="237"/>
      <c r="S45" s="237"/>
      <c r="T45" s="237"/>
      <c r="U45" s="237"/>
      <c r="V45" s="238">
        <f t="shared" si="38"/>
        <v>383.12400000000002</v>
      </c>
      <c r="W45" s="227">
        <f t="shared" si="39"/>
        <v>2.7</v>
      </c>
      <c r="X45" s="237"/>
      <c r="Y45" s="237"/>
      <c r="Z45" s="237">
        <v>2.7</v>
      </c>
      <c r="AA45" s="237"/>
      <c r="AB45" s="237"/>
      <c r="AC45" s="227">
        <v>1.3</v>
      </c>
      <c r="AD45" s="239">
        <f t="shared" si="40"/>
        <v>0</v>
      </c>
      <c r="AE45" s="237"/>
      <c r="AF45" s="237"/>
      <c r="AG45" s="237"/>
      <c r="AH45" s="237"/>
      <c r="AI45" s="237"/>
      <c r="AJ45" s="239">
        <f t="shared" si="41"/>
        <v>1.3</v>
      </c>
      <c r="AK45" s="237"/>
      <c r="AL45" s="237">
        <v>1.3</v>
      </c>
      <c r="AM45" s="237"/>
      <c r="AN45" s="237"/>
      <c r="AO45" s="237"/>
      <c r="AP45" s="196">
        <v>349</v>
      </c>
      <c r="AQ45" s="334">
        <f t="shared" si="42"/>
        <v>0.87096774193548387</v>
      </c>
      <c r="AR45" s="207"/>
      <c r="AS45" s="196"/>
      <c r="AT45" s="196"/>
    </row>
    <row r="46" spans="1:46" hidden="1">
      <c r="A46" s="232">
        <f t="shared" si="43"/>
        <v>7</v>
      </c>
      <c r="B46" s="233" t="s">
        <v>200</v>
      </c>
      <c r="C46" s="234">
        <f t="shared" si="34"/>
        <v>1.056</v>
      </c>
      <c r="D46" s="234"/>
      <c r="E46" s="234">
        <v>7.0000000000000007E-2</v>
      </c>
      <c r="F46" s="234">
        <v>0.98599999999999999</v>
      </c>
      <c r="G46" s="234"/>
      <c r="H46" s="234"/>
      <c r="I46" s="235">
        <f t="shared" si="35"/>
        <v>5.7</v>
      </c>
      <c r="J46" s="236">
        <f t="shared" si="36"/>
        <v>5.5</v>
      </c>
      <c r="K46" s="237"/>
      <c r="L46" s="237"/>
      <c r="M46" s="237"/>
      <c r="N46" s="237">
        <v>5.5</v>
      </c>
      <c r="O46" s="237"/>
      <c r="P46" s="236">
        <f t="shared" si="37"/>
        <v>0.2</v>
      </c>
      <c r="Q46" s="237"/>
      <c r="R46" s="237"/>
      <c r="S46" s="237"/>
      <c r="T46" s="237">
        <v>0.2</v>
      </c>
      <c r="U46" s="237"/>
      <c r="V46" s="238">
        <f t="shared" si="38"/>
        <v>452.80331999999999</v>
      </c>
      <c r="W46" s="227">
        <f t="shared" si="39"/>
        <v>0.82200000000000006</v>
      </c>
      <c r="X46" s="237"/>
      <c r="Y46" s="237">
        <v>7.0000000000000007E-2</v>
      </c>
      <c r="Z46" s="237">
        <v>0.752</v>
      </c>
      <c r="AA46" s="237"/>
      <c r="AB46" s="237"/>
      <c r="AC46" s="227">
        <v>0.5</v>
      </c>
      <c r="AD46" s="239">
        <f t="shared" si="40"/>
        <v>0</v>
      </c>
      <c r="AE46" s="237"/>
      <c r="AF46" s="237"/>
      <c r="AG46" s="237"/>
      <c r="AH46" s="237"/>
      <c r="AI46" s="237"/>
      <c r="AJ46" s="239">
        <f t="shared" si="41"/>
        <v>0.5</v>
      </c>
      <c r="AK46" s="237"/>
      <c r="AL46" s="237"/>
      <c r="AM46" s="237"/>
      <c r="AN46" s="237">
        <v>0.5</v>
      </c>
      <c r="AO46" s="237"/>
      <c r="AP46" s="196">
        <v>96.4</v>
      </c>
      <c r="AQ46" s="334">
        <f t="shared" si="42"/>
        <v>0.77840909090909094</v>
      </c>
      <c r="AR46" s="207">
        <f>AC46/I46</f>
        <v>8.771929824561403E-2</v>
      </c>
      <c r="AS46" s="196"/>
      <c r="AT46" s="196"/>
    </row>
    <row r="47" spans="1:46" hidden="1">
      <c r="A47" s="232">
        <f t="shared" si="43"/>
        <v>8</v>
      </c>
      <c r="B47" s="233" t="s">
        <v>201</v>
      </c>
      <c r="C47" s="234">
        <f t="shared" si="34"/>
        <v>4.0350000000000001</v>
      </c>
      <c r="D47" s="234">
        <v>0.2</v>
      </c>
      <c r="E47" s="234">
        <v>2.0499999999999998</v>
      </c>
      <c r="F47" s="234">
        <v>1.54</v>
      </c>
      <c r="G47" s="234">
        <v>0.245</v>
      </c>
      <c r="H47" s="234"/>
      <c r="I47" s="235">
        <f t="shared" si="35"/>
        <v>0.9</v>
      </c>
      <c r="J47" s="236">
        <f t="shared" si="36"/>
        <v>0.9</v>
      </c>
      <c r="K47" s="237"/>
      <c r="L47" s="237"/>
      <c r="M47" s="237"/>
      <c r="N47" s="237">
        <v>0.9</v>
      </c>
      <c r="O47" s="237"/>
      <c r="P47" s="236">
        <f t="shared" si="37"/>
        <v>0</v>
      </c>
      <c r="Q47" s="237"/>
      <c r="R47" s="237"/>
      <c r="S47" s="237"/>
      <c r="T47" s="237"/>
      <c r="U47" s="237"/>
      <c r="V47" s="238">
        <f t="shared" si="38"/>
        <v>645.51839999999993</v>
      </c>
      <c r="W47" s="227">
        <f t="shared" si="39"/>
        <v>3.9</v>
      </c>
      <c r="X47" s="237"/>
      <c r="Y47" s="237"/>
      <c r="Z47" s="237">
        <v>3.9</v>
      </c>
      <c r="AA47" s="237"/>
      <c r="AB47" s="237"/>
      <c r="AC47" s="227"/>
      <c r="AD47" s="239">
        <f t="shared" si="40"/>
        <v>0</v>
      </c>
      <c r="AE47" s="237"/>
      <c r="AF47" s="237"/>
      <c r="AG47" s="237"/>
      <c r="AH47" s="237"/>
      <c r="AI47" s="237"/>
      <c r="AJ47" s="239">
        <f t="shared" si="41"/>
        <v>0</v>
      </c>
      <c r="AK47" s="237"/>
      <c r="AL47" s="237"/>
      <c r="AM47" s="237"/>
      <c r="AN47" s="237"/>
      <c r="AO47" s="237"/>
      <c r="AP47" s="196">
        <v>300</v>
      </c>
      <c r="AQ47" s="334">
        <f t="shared" si="42"/>
        <v>0.96654275092936792</v>
      </c>
      <c r="AR47" s="207">
        <f>AC47/I47</f>
        <v>0</v>
      </c>
      <c r="AS47" s="196"/>
      <c r="AT47" s="196"/>
    </row>
    <row r="48" spans="1:46" hidden="1">
      <c r="A48" s="232">
        <f t="shared" si="43"/>
        <v>9</v>
      </c>
      <c r="B48" s="233" t="s">
        <v>202</v>
      </c>
      <c r="C48" s="234">
        <f t="shared" si="34"/>
        <v>1.8890000000000002</v>
      </c>
      <c r="D48" s="234"/>
      <c r="E48" s="234">
        <v>0.62</v>
      </c>
      <c r="F48" s="234">
        <v>1.149</v>
      </c>
      <c r="G48" s="234">
        <v>0.12</v>
      </c>
      <c r="H48" s="234"/>
      <c r="I48" s="240">
        <f t="shared" si="35"/>
        <v>1.85</v>
      </c>
      <c r="J48" s="236">
        <f t="shared" si="36"/>
        <v>0</v>
      </c>
      <c r="K48" s="237"/>
      <c r="L48" s="237"/>
      <c r="M48" s="237"/>
      <c r="N48" s="237"/>
      <c r="O48" s="237"/>
      <c r="P48" s="236">
        <f t="shared" si="37"/>
        <v>1.85</v>
      </c>
      <c r="Q48" s="237">
        <v>0.5</v>
      </c>
      <c r="R48" s="237">
        <v>1.35</v>
      </c>
      <c r="S48" s="237"/>
      <c r="T48" s="237"/>
      <c r="U48" s="237"/>
      <c r="V48" s="238">
        <f t="shared" si="38"/>
        <v>367.60147999999992</v>
      </c>
      <c r="W48" s="227">
        <f t="shared" si="39"/>
        <v>1.877</v>
      </c>
      <c r="X48" s="237"/>
      <c r="Y48" s="237">
        <v>0.308</v>
      </c>
      <c r="Z48" s="237">
        <v>1.43</v>
      </c>
      <c r="AA48" s="237">
        <v>0.13900000000000001</v>
      </c>
      <c r="AB48" s="237"/>
      <c r="AC48" s="227"/>
      <c r="AD48" s="239">
        <f t="shared" si="40"/>
        <v>0</v>
      </c>
      <c r="AE48" s="237"/>
      <c r="AF48" s="237"/>
      <c r="AG48" s="237"/>
      <c r="AH48" s="237"/>
      <c r="AI48" s="237"/>
      <c r="AJ48" s="239">
        <f t="shared" si="41"/>
        <v>0</v>
      </c>
      <c r="AK48" s="237"/>
      <c r="AL48" s="237"/>
      <c r="AM48" s="237"/>
      <c r="AN48" s="237"/>
      <c r="AO48" s="237"/>
      <c r="AP48" s="196">
        <v>302.7</v>
      </c>
      <c r="AQ48" s="334">
        <f t="shared" si="42"/>
        <v>0.99364743250397025</v>
      </c>
      <c r="AR48" s="207">
        <f>AC48/I48</f>
        <v>0</v>
      </c>
      <c r="AS48" s="196"/>
      <c r="AT48" s="196"/>
    </row>
    <row r="49" spans="1:46" hidden="1">
      <c r="A49" s="232">
        <f t="shared" si="43"/>
        <v>10</v>
      </c>
      <c r="B49" s="233" t="s">
        <v>203</v>
      </c>
      <c r="C49" s="234">
        <f t="shared" si="34"/>
        <v>4.2679999999999998</v>
      </c>
      <c r="D49" s="234"/>
      <c r="E49" s="234">
        <v>0.44500000000000001</v>
      </c>
      <c r="F49" s="234">
        <v>3.823</v>
      </c>
      <c r="G49" s="234"/>
      <c r="H49" s="234"/>
      <c r="I49" s="235">
        <f t="shared" si="35"/>
        <v>0.8</v>
      </c>
      <c r="J49" s="236">
        <f t="shared" si="36"/>
        <v>0.8</v>
      </c>
      <c r="K49" s="237"/>
      <c r="L49" s="237"/>
      <c r="M49" s="237"/>
      <c r="N49" s="237">
        <v>0.8</v>
      </c>
      <c r="O49" s="237"/>
      <c r="P49" s="236">
        <f t="shared" si="37"/>
        <v>0</v>
      </c>
      <c r="Q49" s="237"/>
      <c r="R49" s="237"/>
      <c r="S49" s="237"/>
      <c r="T49" s="237"/>
      <c r="U49" s="237"/>
      <c r="V49" s="238">
        <f t="shared" si="38"/>
        <v>550.71475999999996</v>
      </c>
      <c r="W49" s="227">
        <f t="shared" si="39"/>
        <v>6.0889999999999995</v>
      </c>
      <c r="X49" s="237">
        <v>1.6910000000000001</v>
      </c>
      <c r="Y49" s="237">
        <v>0.21299999999999999</v>
      </c>
      <c r="Z49" s="237">
        <v>4.1849999999999996</v>
      </c>
      <c r="AA49" s="237"/>
      <c r="AB49" s="237"/>
      <c r="AC49" s="227"/>
      <c r="AD49" s="239">
        <f t="shared" si="40"/>
        <v>0</v>
      </c>
      <c r="AE49" s="237"/>
      <c r="AF49" s="237"/>
      <c r="AG49" s="237"/>
      <c r="AH49" s="237"/>
      <c r="AI49" s="237"/>
      <c r="AJ49" s="239">
        <f t="shared" si="41"/>
        <v>0</v>
      </c>
      <c r="AK49" s="237"/>
      <c r="AL49" s="237"/>
      <c r="AM49" s="237"/>
      <c r="AN49" s="237"/>
      <c r="AO49" s="237"/>
      <c r="AP49" s="196">
        <v>429.3</v>
      </c>
      <c r="AQ49" s="334">
        <f t="shared" si="42"/>
        <v>1.4266635426429239</v>
      </c>
      <c r="AR49" s="207">
        <f>AC49/I49</f>
        <v>0</v>
      </c>
      <c r="AS49" s="196"/>
      <c r="AT49" s="196"/>
    </row>
    <row r="50" spans="1:46" hidden="1">
      <c r="A50" s="232">
        <f t="shared" si="43"/>
        <v>11</v>
      </c>
      <c r="B50" s="233" t="s">
        <v>204</v>
      </c>
      <c r="C50" s="234">
        <f t="shared" si="34"/>
        <v>1.2749999999999999</v>
      </c>
      <c r="D50" s="234"/>
      <c r="E50" s="234"/>
      <c r="F50" s="234">
        <v>1.0249999999999999</v>
      </c>
      <c r="G50" s="234">
        <v>0.25</v>
      </c>
      <c r="H50" s="234"/>
      <c r="I50" s="235">
        <f t="shared" si="35"/>
        <v>0</v>
      </c>
      <c r="J50" s="236">
        <f t="shared" si="36"/>
        <v>0</v>
      </c>
      <c r="K50" s="237"/>
      <c r="L50" s="237"/>
      <c r="M50" s="237"/>
      <c r="N50" s="237"/>
      <c r="O50" s="237"/>
      <c r="P50" s="236">
        <f t="shared" si="37"/>
        <v>0</v>
      </c>
      <c r="Q50" s="237"/>
      <c r="R50" s="237"/>
      <c r="S50" s="237"/>
      <c r="T50" s="237"/>
      <c r="U50" s="237"/>
      <c r="V50" s="238">
        <f t="shared" si="38"/>
        <v>142.44299999999998</v>
      </c>
      <c r="W50" s="227">
        <f t="shared" si="39"/>
        <v>0.85599999999999998</v>
      </c>
      <c r="X50" s="237"/>
      <c r="Y50" s="237">
        <v>0.22600000000000001</v>
      </c>
      <c r="Z50" s="237">
        <v>0.38</v>
      </c>
      <c r="AA50" s="237">
        <v>0.25</v>
      </c>
      <c r="AB50" s="237"/>
      <c r="AC50" s="227"/>
      <c r="AD50" s="239">
        <f t="shared" si="40"/>
        <v>0</v>
      </c>
      <c r="AE50" s="237"/>
      <c r="AF50" s="237"/>
      <c r="AG50" s="237"/>
      <c r="AH50" s="237"/>
      <c r="AI50" s="237"/>
      <c r="AJ50" s="239">
        <f t="shared" si="41"/>
        <v>0</v>
      </c>
      <c r="AK50" s="237"/>
      <c r="AL50" s="237"/>
      <c r="AM50" s="237"/>
      <c r="AN50" s="237"/>
      <c r="AO50" s="237"/>
      <c r="AP50" s="196">
        <v>110</v>
      </c>
      <c r="AQ50" s="334">
        <f t="shared" si="42"/>
        <v>0.67137254901960786</v>
      </c>
      <c r="AR50" s="207"/>
      <c r="AS50" s="196"/>
      <c r="AT50" s="196"/>
    </row>
    <row r="51" spans="1:46" hidden="1">
      <c r="A51" s="232">
        <f t="shared" si="43"/>
        <v>12</v>
      </c>
      <c r="B51" s="233" t="s">
        <v>205</v>
      </c>
      <c r="C51" s="234">
        <f t="shared" si="34"/>
        <v>3.9350000000000001</v>
      </c>
      <c r="D51" s="234">
        <v>0.53</v>
      </c>
      <c r="E51" s="234">
        <v>1.99</v>
      </c>
      <c r="F51" s="234">
        <v>0.435</v>
      </c>
      <c r="G51" s="234">
        <v>0.98</v>
      </c>
      <c r="H51" s="234"/>
      <c r="I51" s="235">
        <f t="shared" si="35"/>
        <v>2.4</v>
      </c>
      <c r="J51" s="236">
        <f t="shared" si="36"/>
        <v>0</v>
      </c>
      <c r="K51" s="237"/>
      <c r="L51" s="237"/>
      <c r="M51" s="237"/>
      <c r="N51" s="237"/>
      <c r="O51" s="237"/>
      <c r="P51" s="236">
        <f t="shared" si="37"/>
        <v>2.4</v>
      </c>
      <c r="Q51" s="237"/>
      <c r="R51" s="237">
        <v>2.4</v>
      </c>
      <c r="S51" s="237"/>
      <c r="T51" s="237"/>
      <c r="U51" s="237"/>
      <c r="V51" s="238">
        <f t="shared" si="38"/>
        <v>751.76850000000002</v>
      </c>
      <c r="W51" s="227">
        <f t="shared" si="39"/>
        <v>4.9020000000000001</v>
      </c>
      <c r="X51" s="237">
        <v>1.0269999999999999</v>
      </c>
      <c r="Y51" s="237">
        <v>1.86</v>
      </c>
      <c r="Z51" s="237">
        <v>1.35</v>
      </c>
      <c r="AA51" s="237">
        <v>0.66500000000000004</v>
      </c>
      <c r="AB51" s="237"/>
      <c r="AC51" s="227">
        <v>2.4</v>
      </c>
      <c r="AD51" s="239">
        <f t="shared" si="40"/>
        <v>0</v>
      </c>
      <c r="AE51" s="237"/>
      <c r="AF51" s="237"/>
      <c r="AG51" s="237"/>
      <c r="AH51" s="237"/>
      <c r="AI51" s="237"/>
      <c r="AJ51" s="239">
        <f t="shared" si="41"/>
        <v>2.4</v>
      </c>
      <c r="AK51" s="237"/>
      <c r="AL51" s="237">
        <v>2.4</v>
      </c>
      <c r="AM51" s="237"/>
      <c r="AN51" s="237"/>
      <c r="AO51" s="237"/>
      <c r="AP51" s="196">
        <v>1050.2</v>
      </c>
      <c r="AQ51" s="334">
        <f t="shared" si="42"/>
        <v>1.2457433290978399</v>
      </c>
      <c r="AR51" s="207">
        <f>AC51/I51</f>
        <v>1</v>
      </c>
      <c r="AS51" s="196"/>
      <c r="AT51" s="196"/>
    </row>
    <row r="52" spans="1:46" hidden="1">
      <c r="A52" s="232">
        <f t="shared" si="43"/>
        <v>13</v>
      </c>
      <c r="B52" s="233" t="s">
        <v>206</v>
      </c>
      <c r="C52" s="234">
        <f t="shared" si="34"/>
        <v>1.294</v>
      </c>
      <c r="D52" s="234"/>
      <c r="E52" s="234"/>
      <c r="F52" s="234">
        <v>1.294</v>
      </c>
      <c r="G52" s="234"/>
      <c r="H52" s="234"/>
      <c r="I52" s="235">
        <f t="shared" si="35"/>
        <v>0.86</v>
      </c>
      <c r="J52" s="236">
        <f t="shared" si="36"/>
        <v>0</v>
      </c>
      <c r="K52" s="237"/>
      <c r="L52" s="237"/>
      <c r="M52" s="237"/>
      <c r="N52" s="237"/>
      <c r="O52" s="237"/>
      <c r="P52" s="236">
        <f t="shared" si="37"/>
        <v>0.86</v>
      </c>
      <c r="Q52" s="237"/>
      <c r="R52" s="237"/>
      <c r="S52" s="237">
        <v>0.86</v>
      </c>
      <c r="T52" s="237"/>
      <c r="U52" s="237"/>
      <c r="V52" s="238">
        <f t="shared" si="38"/>
        <v>208.82144</v>
      </c>
      <c r="W52" s="227">
        <f t="shared" si="39"/>
        <v>1.5309999999999999</v>
      </c>
      <c r="X52" s="237"/>
      <c r="Y52" s="237"/>
      <c r="Z52" s="237">
        <v>1.5309999999999999</v>
      </c>
      <c r="AA52" s="237"/>
      <c r="AB52" s="237"/>
      <c r="AC52" s="227">
        <v>0.502</v>
      </c>
      <c r="AD52" s="239">
        <f t="shared" si="40"/>
        <v>0</v>
      </c>
      <c r="AE52" s="237"/>
      <c r="AF52" s="237"/>
      <c r="AG52" s="237"/>
      <c r="AH52" s="237"/>
      <c r="AI52" s="237"/>
      <c r="AJ52" s="239">
        <f t="shared" si="41"/>
        <v>0.502</v>
      </c>
      <c r="AK52" s="237"/>
      <c r="AL52" s="237"/>
      <c r="AM52" s="237">
        <v>0.502</v>
      </c>
      <c r="AN52" s="237"/>
      <c r="AO52" s="237"/>
      <c r="AP52" s="196">
        <v>278</v>
      </c>
      <c r="AQ52" s="334">
        <f t="shared" si="42"/>
        <v>1.1831530139103554</v>
      </c>
      <c r="AR52" s="207">
        <f>AC52/I52</f>
        <v>0.58372093023255811</v>
      </c>
      <c r="AS52" s="196"/>
      <c r="AT52" s="196"/>
    </row>
    <row r="53" spans="1:46" hidden="1">
      <c r="A53" s="232">
        <f t="shared" si="43"/>
        <v>14</v>
      </c>
      <c r="B53" s="233" t="s">
        <v>207</v>
      </c>
      <c r="C53" s="234">
        <f t="shared" si="34"/>
        <v>3.61</v>
      </c>
      <c r="D53" s="234"/>
      <c r="E53" s="234">
        <v>0.7</v>
      </c>
      <c r="F53" s="234">
        <v>1.76</v>
      </c>
      <c r="G53" s="234">
        <v>1.1499999999999999</v>
      </c>
      <c r="H53" s="234"/>
      <c r="I53" s="235">
        <f t="shared" si="35"/>
        <v>1.05</v>
      </c>
      <c r="J53" s="236">
        <f t="shared" si="36"/>
        <v>0</v>
      </c>
      <c r="K53" s="237"/>
      <c r="L53" s="237"/>
      <c r="M53" s="237"/>
      <c r="N53" s="237"/>
      <c r="O53" s="237"/>
      <c r="P53" s="236">
        <f t="shared" si="37"/>
        <v>1.05</v>
      </c>
      <c r="Q53" s="237"/>
      <c r="R53" s="237"/>
      <c r="S53" s="237"/>
      <c r="T53" s="237">
        <v>1.05</v>
      </c>
      <c r="U53" s="237"/>
      <c r="V53" s="238">
        <f t="shared" si="38"/>
        <v>499.34009999999989</v>
      </c>
      <c r="W53" s="227">
        <f t="shared" si="39"/>
        <v>3.36</v>
      </c>
      <c r="X53" s="237"/>
      <c r="Y53" s="237">
        <v>0.3</v>
      </c>
      <c r="Z53" s="237">
        <v>2</v>
      </c>
      <c r="AA53" s="237">
        <v>1.06</v>
      </c>
      <c r="AB53" s="237"/>
      <c r="AC53" s="227">
        <v>0.2</v>
      </c>
      <c r="AD53" s="239">
        <f t="shared" si="40"/>
        <v>0</v>
      </c>
      <c r="AE53" s="237"/>
      <c r="AF53" s="237"/>
      <c r="AG53" s="237"/>
      <c r="AH53" s="237"/>
      <c r="AI53" s="237"/>
      <c r="AJ53" s="239">
        <f t="shared" si="41"/>
        <v>0.2</v>
      </c>
      <c r="AK53" s="237"/>
      <c r="AL53" s="237"/>
      <c r="AM53" s="237"/>
      <c r="AN53" s="237">
        <v>0.2</v>
      </c>
      <c r="AO53" s="237"/>
      <c r="AP53" s="196">
        <v>361</v>
      </c>
      <c r="AQ53" s="334">
        <f t="shared" si="42"/>
        <v>0.93074792243767313</v>
      </c>
      <c r="AR53" s="207">
        <f>AC53/I53</f>
        <v>0.19047619047619047</v>
      </c>
      <c r="AS53" s="196"/>
      <c r="AT53" s="196"/>
    </row>
    <row r="54" spans="1:46" hidden="1">
      <c r="A54" s="232">
        <f t="shared" si="43"/>
        <v>15</v>
      </c>
      <c r="B54" s="233" t="s">
        <v>208</v>
      </c>
      <c r="C54" s="234">
        <f t="shared" si="34"/>
        <v>4.25</v>
      </c>
      <c r="D54" s="234"/>
      <c r="E54" s="234">
        <v>1.31</v>
      </c>
      <c r="F54" s="234">
        <v>2.84</v>
      </c>
      <c r="G54" s="234">
        <v>0.1</v>
      </c>
      <c r="H54" s="234"/>
      <c r="I54" s="235">
        <f t="shared" si="35"/>
        <v>0</v>
      </c>
      <c r="J54" s="236">
        <f t="shared" si="36"/>
        <v>0</v>
      </c>
      <c r="K54" s="237"/>
      <c r="L54" s="237"/>
      <c r="M54" s="237"/>
      <c r="N54" s="237"/>
      <c r="O54" s="237"/>
      <c r="P54" s="236">
        <f t="shared" si="37"/>
        <v>0</v>
      </c>
      <c r="Q54" s="237"/>
      <c r="R54" s="237"/>
      <c r="S54" s="237"/>
      <c r="T54" s="237"/>
      <c r="U54" s="237"/>
      <c r="V54" s="238">
        <f t="shared" si="38"/>
        <v>555.13919999999996</v>
      </c>
      <c r="W54" s="227">
        <f t="shared" si="39"/>
        <v>4.25</v>
      </c>
      <c r="X54" s="237"/>
      <c r="Y54" s="237">
        <v>1.31</v>
      </c>
      <c r="Z54" s="237">
        <v>2.84</v>
      </c>
      <c r="AA54" s="237">
        <v>0.1</v>
      </c>
      <c r="AB54" s="237"/>
      <c r="AC54" s="227"/>
      <c r="AD54" s="239">
        <f t="shared" si="40"/>
        <v>0</v>
      </c>
      <c r="AE54" s="237"/>
      <c r="AF54" s="237"/>
      <c r="AG54" s="237"/>
      <c r="AH54" s="237"/>
      <c r="AI54" s="237"/>
      <c r="AJ54" s="239">
        <f t="shared" si="41"/>
        <v>0</v>
      </c>
      <c r="AK54" s="237"/>
      <c r="AL54" s="237"/>
      <c r="AM54" s="237"/>
      <c r="AN54" s="237"/>
      <c r="AO54" s="237"/>
      <c r="AP54" s="196">
        <v>555.1</v>
      </c>
      <c r="AQ54" s="334">
        <f t="shared" si="42"/>
        <v>1</v>
      </c>
      <c r="AR54" s="207"/>
      <c r="AS54" s="196"/>
      <c r="AT54" s="196"/>
    </row>
    <row r="55" spans="1:46" hidden="1">
      <c r="A55" s="232">
        <f t="shared" si="43"/>
        <v>16</v>
      </c>
      <c r="B55" s="233" t="s">
        <v>209</v>
      </c>
      <c r="C55" s="234">
        <f t="shared" si="34"/>
        <v>2.5</v>
      </c>
      <c r="D55" s="234"/>
      <c r="E55" s="234">
        <v>1.1000000000000001</v>
      </c>
      <c r="F55" s="234">
        <v>1.4</v>
      </c>
      <c r="G55" s="234"/>
      <c r="H55" s="234"/>
      <c r="I55" s="235">
        <f t="shared" si="35"/>
        <v>0</v>
      </c>
      <c r="J55" s="236">
        <f t="shared" si="36"/>
        <v>0</v>
      </c>
      <c r="K55" s="237"/>
      <c r="L55" s="237"/>
      <c r="M55" s="237"/>
      <c r="N55" s="237"/>
      <c r="O55" s="237"/>
      <c r="P55" s="236">
        <f t="shared" si="37"/>
        <v>0</v>
      </c>
      <c r="Q55" s="237"/>
      <c r="R55" s="237"/>
      <c r="S55" s="237"/>
      <c r="T55" s="237"/>
      <c r="U55" s="237"/>
      <c r="V55" s="238">
        <f t="shared" si="38"/>
        <v>346.75199999999995</v>
      </c>
      <c r="W55" s="227">
        <f t="shared" si="39"/>
        <v>2.8200000000000003</v>
      </c>
      <c r="X55" s="237"/>
      <c r="Y55" s="237">
        <v>1.32</v>
      </c>
      <c r="Z55" s="237">
        <v>1.5</v>
      </c>
      <c r="AA55" s="237"/>
      <c r="AB55" s="237"/>
      <c r="AC55" s="227"/>
      <c r="AD55" s="239">
        <f t="shared" si="40"/>
        <v>0</v>
      </c>
      <c r="AE55" s="237"/>
      <c r="AF55" s="237"/>
      <c r="AG55" s="237"/>
      <c r="AH55" s="237"/>
      <c r="AI55" s="237"/>
      <c r="AJ55" s="239">
        <f t="shared" si="41"/>
        <v>0</v>
      </c>
      <c r="AK55" s="237"/>
      <c r="AL55" s="237"/>
      <c r="AM55" s="237"/>
      <c r="AN55" s="237"/>
      <c r="AO55" s="237"/>
      <c r="AP55" s="196">
        <v>347.75</v>
      </c>
      <c r="AQ55" s="334">
        <f t="shared" si="42"/>
        <v>1.1280000000000001</v>
      </c>
      <c r="AR55" s="207"/>
      <c r="AS55" s="196"/>
      <c r="AT55" s="196"/>
    </row>
    <row r="56" spans="1:46" hidden="1">
      <c r="A56" s="232">
        <f t="shared" si="43"/>
        <v>17</v>
      </c>
      <c r="B56" s="233" t="s">
        <v>210</v>
      </c>
      <c r="C56" s="234">
        <f t="shared" si="34"/>
        <v>2.73</v>
      </c>
      <c r="D56" s="234"/>
      <c r="E56" s="234">
        <v>0.2</v>
      </c>
      <c r="F56" s="234">
        <v>2.5299999999999998</v>
      </c>
      <c r="G56" s="234"/>
      <c r="H56" s="234"/>
      <c r="I56" s="235">
        <f t="shared" si="35"/>
        <v>0.5</v>
      </c>
      <c r="J56" s="236">
        <f t="shared" si="36"/>
        <v>0.2</v>
      </c>
      <c r="K56" s="237"/>
      <c r="L56" s="237">
        <v>0.2</v>
      </c>
      <c r="M56" s="237"/>
      <c r="N56" s="237"/>
      <c r="O56" s="237"/>
      <c r="P56" s="236">
        <f t="shared" si="37"/>
        <v>0.3</v>
      </c>
      <c r="Q56" s="237"/>
      <c r="R56" s="237">
        <v>0.3</v>
      </c>
      <c r="S56" s="237"/>
      <c r="T56" s="237"/>
      <c r="U56" s="237"/>
      <c r="V56" s="238">
        <f t="shared" si="38"/>
        <v>349.85919999999999</v>
      </c>
      <c r="W56" s="227">
        <f t="shared" si="39"/>
        <v>2.2999999999999998</v>
      </c>
      <c r="X56" s="237"/>
      <c r="Y56" s="237">
        <v>0.66500000000000004</v>
      </c>
      <c r="Z56" s="237">
        <v>1.635</v>
      </c>
      <c r="AA56" s="237"/>
      <c r="AB56" s="237"/>
      <c r="AC56" s="227"/>
      <c r="AD56" s="239">
        <f t="shared" si="40"/>
        <v>0</v>
      </c>
      <c r="AE56" s="237"/>
      <c r="AF56" s="237"/>
      <c r="AG56" s="237"/>
      <c r="AH56" s="237"/>
      <c r="AI56" s="237"/>
      <c r="AJ56" s="239">
        <f t="shared" si="41"/>
        <v>0</v>
      </c>
      <c r="AK56" s="237"/>
      <c r="AL56" s="237"/>
      <c r="AM56" s="237"/>
      <c r="AN56" s="237"/>
      <c r="AO56" s="237"/>
      <c r="AP56" s="196">
        <v>340</v>
      </c>
      <c r="AQ56" s="334">
        <f t="shared" si="42"/>
        <v>0.84249084249084238</v>
      </c>
      <c r="AR56" s="207">
        <f>AC56/I56</f>
        <v>0</v>
      </c>
      <c r="AS56" s="196"/>
      <c r="AT56" s="196"/>
    </row>
    <row r="57" spans="1:46" hidden="1">
      <c r="A57" s="232">
        <f t="shared" si="43"/>
        <v>18</v>
      </c>
      <c r="B57" s="233" t="s">
        <v>27</v>
      </c>
      <c r="C57" s="234">
        <f t="shared" si="34"/>
        <v>3.8</v>
      </c>
      <c r="D57" s="234"/>
      <c r="E57" s="234"/>
      <c r="F57" s="234">
        <v>3.8</v>
      </c>
      <c r="G57" s="234"/>
      <c r="H57" s="234"/>
      <c r="I57" s="235">
        <f t="shared" si="35"/>
        <v>1.4</v>
      </c>
      <c r="J57" s="236">
        <f t="shared" si="36"/>
        <v>0</v>
      </c>
      <c r="K57" s="237"/>
      <c r="L57" s="237"/>
      <c r="M57" s="237"/>
      <c r="N57" s="237"/>
      <c r="O57" s="237"/>
      <c r="P57" s="236">
        <f t="shared" si="37"/>
        <v>1.4</v>
      </c>
      <c r="Q57" s="237">
        <v>1.4</v>
      </c>
      <c r="R57" s="237"/>
      <c r="S57" s="237"/>
      <c r="T57" s="237"/>
      <c r="U57" s="237"/>
      <c r="V57" s="238">
        <f t="shared" si="38"/>
        <v>526.25720000000001</v>
      </c>
      <c r="W57" s="227">
        <f t="shared" si="39"/>
        <v>0.6</v>
      </c>
      <c r="X57" s="237"/>
      <c r="Y57" s="237"/>
      <c r="Z57" s="237">
        <v>0.6</v>
      </c>
      <c r="AA57" s="237"/>
      <c r="AB57" s="237"/>
      <c r="AC57" s="227"/>
      <c r="AD57" s="239">
        <f t="shared" si="40"/>
        <v>0</v>
      </c>
      <c r="AE57" s="237"/>
      <c r="AF57" s="237"/>
      <c r="AG57" s="237"/>
      <c r="AH57" s="237"/>
      <c r="AI57" s="237"/>
      <c r="AJ57" s="239">
        <f t="shared" si="41"/>
        <v>0</v>
      </c>
      <c r="AK57" s="237"/>
      <c r="AL57" s="237"/>
      <c r="AM57" s="237"/>
      <c r="AN57" s="237"/>
      <c r="AO57" s="237"/>
      <c r="AP57" s="196">
        <v>60</v>
      </c>
      <c r="AQ57" s="334">
        <f t="shared" si="42"/>
        <v>0.15789473684210525</v>
      </c>
      <c r="AR57" s="207">
        <f>AC57/I57</f>
        <v>0</v>
      </c>
      <c r="AS57" s="196"/>
      <c r="AT57" s="196"/>
    </row>
    <row r="58" spans="1:46" hidden="1">
      <c r="A58" s="232">
        <f t="shared" si="43"/>
        <v>19</v>
      </c>
      <c r="B58" s="233" t="s">
        <v>211</v>
      </c>
      <c r="C58" s="234">
        <f t="shared" si="34"/>
        <v>1.65</v>
      </c>
      <c r="D58" s="234"/>
      <c r="E58" s="234">
        <v>0.15</v>
      </c>
      <c r="F58" s="234">
        <v>1.02</v>
      </c>
      <c r="G58" s="234">
        <v>0.48</v>
      </c>
      <c r="H58" s="234"/>
      <c r="I58" s="235">
        <f t="shared" si="35"/>
        <v>0</v>
      </c>
      <c r="J58" s="236">
        <f t="shared" si="36"/>
        <v>0</v>
      </c>
      <c r="K58" s="237"/>
      <c r="L58" s="237"/>
      <c r="M58" s="237"/>
      <c r="N58" s="237"/>
      <c r="O58" s="237"/>
      <c r="P58" s="236">
        <f t="shared" si="37"/>
        <v>0</v>
      </c>
      <c r="Q58" s="237"/>
      <c r="R58" s="237"/>
      <c r="S58" s="237"/>
      <c r="T58" s="237"/>
      <c r="U58" s="237"/>
      <c r="V58" s="238">
        <f t="shared" si="38"/>
        <v>193.536</v>
      </c>
      <c r="W58" s="227">
        <f t="shared" si="39"/>
        <v>1.65</v>
      </c>
      <c r="X58" s="237"/>
      <c r="Y58" s="237">
        <v>0.15</v>
      </c>
      <c r="Z58" s="237">
        <v>1.25</v>
      </c>
      <c r="AA58" s="237">
        <v>0.25</v>
      </c>
      <c r="AB58" s="237"/>
      <c r="AC58" s="227"/>
      <c r="AD58" s="239">
        <f t="shared" si="40"/>
        <v>0</v>
      </c>
      <c r="AE58" s="237"/>
      <c r="AF58" s="237"/>
      <c r="AG58" s="237"/>
      <c r="AH58" s="237"/>
      <c r="AI58" s="237"/>
      <c r="AJ58" s="239">
        <f t="shared" si="41"/>
        <v>0</v>
      </c>
      <c r="AK58" s="237"/>
      <c r="AL58" s="237"/>
      <c r="AM58" s="237"/>
      <c r="AN58" s="237"/>
      <c r="AO58" s="237"/>
      <c r="AP58" s="196">
        <v>193.39999999999998</v>
      </c>
      <c r="AQ58" s="334">
        <f t="shared" si="42"/>
        <v>1</v>
      </c>
      <c r="AR58" s="207"/>
      <c r="AS58" s="196"/>
      <c r="AT58" s="196"/>
    </row>
    <row r="59" spans="1:46" hidden="1">
      <c r="A59" s="232">
        <f t="shared" si="43"/>
        <v>20</v>
      </c>
      <c r="B59" s="233" t="s">
        <v>212</v>
      </c>
      <c r="C59" s="234">
        <f t="shared" si="34"/>
        <v>0.5</v>
      </c>
      <c r="D59" s="234"/>
      <c r="E59" s="234"/>
      <c r="F59" s="234">
        <v>0.5</v>
      </c>
      <c r="G59" s="234"/>
      <c r="H59" s="234"/>
      <c r="I59" s="235">
        <f t="shared" si="35"/>
        <v>0</v>
      </c>
      <c r="J59" s="236">
        <f t="shared" si="36"/>
        <v>0</v>
      </c>
      <c r="K59" s="237"/>
      <c r="L59" s="237"/>
      <c r="M59" s="237"/>
      <c r="N59" s="237"/>
      <c r="O59" s="237"/>
      <c r="P59" s="236">
        <f t="shared" si="37"/>
        <v>0</v>
      </c>
      <c r="Q59" s="237"/>
      <c r="R59" s="237"/>
      <c r="S59" s="237"/>
      <c r="T59" s="237"/>
      <c r="U59" s="237"/>
      <c r="V59" s="238">
        <f t="shared" si="38"/>
        <v>55.86</v>
      </c>
      <c r="W59" s="227">
        <f t="shared" si="39"/>
        <v>0.5</v>
      </c>
      <c r="X59" s="237"/>
      <c r="Y59" s="237"/>
      <c r="Z59" s="237">
        <v>0.35</v>
      </c>
      <c r="AA59" s="237">
        <v>0.15</v>
      </c>
      <c r="AB59" s="237"/>
      <c r="AC59" s="227"/>
      <c r="AD59" s="239">
        <f t="shared" si="40"/>
        <v>0</v>
      </c>
      <c r="AE59" s="237"/>
      <c r="AF59" s="237"/>
      <c r="AG59" s="237"/>
      <c r="AH59" s="237"/>
      <c r="AI59" s="237"/>
      <c r="AJ59" s="239">
        <f t="shared" si="41"/>
        <v>0</v>
      </c>
      <c r="AK59" s="237"/>
      <c r="AL59" s="237"/>
      <c r="AM59" s="237"/>
      <c r="AN59" s="237"/>
      <c r="AO59" s="237"/>
      <c r="AP59" s="196">
        <v>45</v>
      </c>
      <c r="AQ59" s="334">
        <f t="shared" si="42"/>
        <v>1</v>
      </c>
      <c r="AR59" s="207"/>
      <c r="AS59" s="196"/>
      <c r="AT59" s="196"/>
    </row>
    <row r="60" spans="1:46" hidden="1">
      <c r="A60" s="232">
        <v>21</v>
      </c>
      <c r="B60" s="233" t="s">
        <v>213</v>
      </c>
      <c r="C60" s="234">
        <f t="shared" si="34"/>
        <v>0.79</v>
      </c>
      <c r="D60" s="234"/>
      <c r="E60" s="234">
        <v>0.2</v>
      </c>
      <c r="F60" s="234">
        <v>0.25</v>
      </c>
      <c r="G60" s="234">
        <v>0.34</v>
      </c>
      <c r="H60" s="234"/>
      <c r="I60" s="235">
        <f t="shared" si="35"/>
        <v>3.83</v>
      </c>
      <c r="J60" s="236">
        <f t="shared" si="36"/>
        <v>0</v>
      </c>
      <c r="K60" s="237"/>
      <c r="L60" s="237"/>
      <c r="M60" s="237"/>
      <c r="N60" s="237"/>
      <c r="O60" s="237"/>
      <c r="P60" s="236">
        <f t="shared" si="37"/>
        <v>3.83</v>
      </c>
      <c r="Q60" s="237"/>
      <c r="R60" s="237"/>
      <c r="S60" s="237"/>
      <c r="T60" s="237">
        <v>3.83</v>
      </c>
      <c r="U60" s="237"/>
      <c r="V60" s="238">
        <f t="shared" si="38"/>
        <v>294.23653999999999</v>
      </c>
      <c r="W60" s="227">
        <f t="shared" si="39"/>
        <v>0.78400000000000003</v>
      </c>
      <c r="X60" s="237"/>
      <c r="Y60" s="237">
        <v>0.185</v>
      </c>
      <c r="Z60" s="237">
        <v>0.25900000000000001</v>
      </c>
      <c r="AA60" s="237">
        <v>0.34</v>
      </c>
      <c r="AB60" s="237"/>
      <c r="AC60" s="227">
        <v>0.17499999999999999</v>
      </c>
      <c r="AD60" s="239">
        <f t="shared" si="40"/>
        <v>0</v>
      </c>
      <c r="AE60" s="237"/>
      <c r="AF60" s="237"/>
      <c r="AG60" s="237"/>
      <c r="AH60" s="237"/>
      <c r="AI60" s="237"/>
      <c r="AJ60" s="239">
        <f t="shared" si="41"/>
        <v>0.17499999999999999</v>
      </c>
      <c r="AK60" s="237"/>
      <c r="AL60" s="237"/>
      <c r="AM60" s="237"/>
      <c r="AN60" s="237">
        <v>0.17499999999999999</v>
      </c>
      <c r="AO60" s="237"/>
      <c r="AP60" s="196">
        <v>78.7</v>
      </c>
      <c r="AQ60" s="334">
        <f t="shared" si="42"/>
        <v>0.9924050632911392</v>
      </c>
      <c r="AR60" s="207">
        <f>AC60/I60</f>
        <v>4.5691906005221931E-2</v>
      </c>
      <c r="AS60" s="196"/>
      <c r="AT60" s="196"/>
    </row>
    <row r="61" spans="1:46" hidden="1">
      <c r="A61" s="196"/>
      <c r="B61" s="241" t="s">
        <v>1</v>
      </c>
      <c r="C61" s="227">
        <f t="shared" ref="C61:AQ61" si="44">SUM(C40:C60)</f>
        <v>61.757999999999988</v>
      </c>
      <c r="D61" s="227">
        <f t="shared" si="44"/>
        <v>1.43</v>
      </c>
      <c r="E61" s="227">
        <f t="shared" si="44"/>
        <v>15.356999999999998</v>
      </c>
      <c r="F61" s="227">
        <f t="shared" si="44"/>
        <v>39.653999999999996</v>
      </c>
      <c r="G61" s="227">
        <f t="shared" si="44"/>
        <v>5.3170000000000002</v>
      </c>
      <c r="H61" s="227">
        <f t="shared" si="44"/>
        <v>0</v>
      </c>
      <c r="I61" s="227">
        <f t="shared" si="44"/>
        <v>34.25</v>
      </c>
      <c r="J61" s="227">
        <f t="shared" si="44"/>
        <v>11.97</v>
      </c>
      <c r="K61" s="227">
        <f t="shared" si="44"/>
        <v>1.4200000000000002</v>
      </c>
      <c r="L61" s="227">
        <f t="shared" si="44"/>
        <v>2.8</v>
      </c>
      <c r="M61" s="227">
        <f t="shared" si="44"/>
        <v>0.55000000000000004</v>
      </c>
      <c r="N61" s="227">
        <f t="shared" si="44"/>
        <v>7.2</v>
      </c>
      <c r="O61" s="227">
        <f t="shared" si="44"/>
        <v>0</v>
      </c>
      <c r="P61" s="227">
        <f t="shared" si="44"/>
        <v>22.28</v>
      </c>
      <c r="Q61" s="227">
        <f t="shared" si="44"/>
        <v>2.2000000000000002</v>
      </c>
      <c r="R61" s="227">
        <f t="shared" si="44"/>
        <v>13.46</v>
      </c>
      <c r="S61" s="227">
        <f t="shared" si="44"/>
        <v>0.86</v>
      </c>
      <c r="T61" s="227">
        <f t="shared" si="44"/>
        <v>5.76</v>
      </c>
      <c r="U61" s="227">
        <f t="shared" si="44"/>
        <v>0</v>
      </c>
      <c r="V61" s="242">
        <f t="shared" si="44"/>
        <v>10084.083190000001</v>
      </c>
      <c r="W61" s="227">
        <f t="shared" si="44"/>
        <v>57.580999999999996</v>
      </c>
      <c r="X61" s="227">
        <f t="shared" si="44"/>
        <v>2.718</v>
      </c>
      <c r="Y61" s="227">
        <f t="shared" si="44"/>
        <v>11.769000000000002</v>
      </c>
      <c r="Z61" s="227">
        <f t="shared" si="44"/>
        <v>39.692999999999991</v>
      </c>
      <c r="AA61" s="227">
        <f t="shared" si="44"/>
        <v>3.4009999999999998</v>
      </c>
      <c r="AB61" s="227">
        <f t="shared" si="44"/>
        <v>0</v>
      </c>
      <c r="AC61" s="227">
        <f t="shared" si="44"/>
        <v>14.047000000000001</v>
      </c>
      <c r="AD61" s="227">
        <f t="shared" si="44"/>
        <v>1.6500000000000001</v>
      </c>
      <c r="AE61" s="227">
        <f t="shared" si="44"/>
        <v>1.1000000000000001</v>
      </c>
      <c r="AF61" s="227">
        <f t="shared" si="44"/>
        <v>0</v>
      </c>
      <c r="AG61" s="227">
        <f t="shared" si="44"/>
        <v>0.55000000000000004</v>
      </c>
      <c r="AH61" s="227">
        <f t="shared" si="44"/>
        <v>0</v>
      </c>
      <c r="AI61" s="227">
        <f t="shared" si="44"/>
        <v>0</v>
      </c>
      <c r="AJ61" s="227">
        <f t="shared" si="44"/>
        <v>10.397</v>
      </c>
      <c r="AK61" s="227">
        <f t="shared" si="44"/>
        <v>1</v>
      </c>
      <c r="AL61" s="227">
        <f t="shared" si="44"/>
        <v>7.7999999999999989</v>
      </c>
      <c r="AM61" s="227">
        <f t="shared" si="44"/>
        <v>0.502</v>
      </c>
      <c r="AN61" s="227">
        <f t="shared" si="44"/>
        <v>1.095</v>
      </c>
      <c r="AO61" s="227">
        <f t="shared" si="44"/>
        <v>0</v>
      </c>
      <c r="AP61" s="242">
        <f t="shared" si="44"/>
        <v>8296.5499999999993</v>
      </c>
      <c r="AQ61" s="332">
        <f t="shared" si="44"/>
        <v>19.325048492701491</v>
      </c>
      <c r="AR61" s="226">
        <f>AC61/I61</f>
        <v>0.4101313868613139</v>
      </c>
      <c r="AS61" s="227">
        <f>SUM(AS40:AS60)</f>
        <v>0</v>
      </c>
      <c r="AT61" s="227">
        <f>SUM(AT40:AT60)</f>
        <v>0</v>
      </c>
    </row>
    <row r="62" spans="1:46" hidden="1"/>
    <row r="63" spans="1:46" hidden="1">
      <c r="B63" s="538" t="s">
        <v>190</v>
      </c>
      <c r="C63" s="539"/>
      <c r="D63" s="539"/>
      <c r="E63" s="539"/>
      <c r="F63" s="539"/>
      <c r="V63" s="173" t="s">
        <v>191</v>
      </c>
      <c r="W63" s="174"/>
      <c r="X63" s="174"/>
      <c r="Y63" s="174"/>
      <c r="Z63" s="174"/>
      <c r="AA63" s="174"/>
      <c r="AB63" s="174"/>
      <c r="AC63" s="174"/>
      <c r="AD63" s="174"/>
      <c r="AE63" s="174"/>
      <c r="AF63" s="174"/>
      <c r="AG63" s="174"/>
      <c r="AH63" s="174"/>
      <c r="AI63" s="174"/>
      <c r="AJ63" s="174"/>
      <c r="AK63" s="174"/>
      <c r="AL63" s="174"/>
      <c r="AM63" s="174"/>
      <c r="AN63" s="174"/>
      <c r="AO63" s="174"/>
      <c r="AP63" s="174"/>
      <c r="AQ63" s="331"/>
    </row>
    <row r="64" spans="1:46" hidden="1">
      <c r="B64" s="540" t="s">
        <v>214</v>
      </c>
      <c r="C64" s="541"/>
      <c r="D64" s="541"/>
      <c r="E64" s="541"/>
      <c r="F64" s="541"/>
      <c r="V64" s="173" t="s">
        <v>193</v>
      </c>
      <c r="W64" s="174"/>
      <c r="X64" s="174"/>
      <c r="Y64" s="174"/>
      <c r="Z64" s="174"/>
      <c r="AA64" s="174"/>
      <c r="AB64" s="174"/>
      <c r="AC64" s="174"/>
      <c r="AD64" s="174"/>
      <c r="AE64" s="174"/>
      <c r="AF64" s="174"/>
      <c r="AG64" s="174"/>
      <c r="AH64" s="174"/>
      <c r="AI64" s="174"/>
      <c r="AJ64" s="174"/>
      <c r="AK64" s="174"/>
      <c r="AL64" s="174"/>
      <c r="AM64" s="174"/>
      <c r="AN64" s="174"/>
      <c r="AO64" s="174"/>
      <c r="AP64" s="174"/>
      <c r="AQ64" s="331"/>
    </row>
    <row r="65" spans="1:46" hidden="1">
      <c r="B65" s="172"/>
      <c r="C65" s="172"/>
      <c r="D65" s="172"/>
      <c r="E65" s="172"/>
      <c r="F65" s="172"/>
      <c r="V65" s="173"/>
      <c r="W65" s="174"/>
      <c r="X65" s="174"/>
      <c r="Y65" s="174"/>
      <c r="Z65" s="174"/>
      <c r="AA65" s="174"/>
      <c r="AB65" s="174"/>
      <c r="AC65" s="174"/>
      <c r="AD65" s="174"/>
      <c r="AE65" s="174"/>
      <c r="AF65" s="174"/>
      <c r="AG65" s="174"/>
      <c r="AH65" s="174"/>
      <c r="AI65" s="174"/>
      <c r="AJ65" s="174"/>
      <c r="AK65" s="174"/>
      <c r="AL65" s="174"/>
      <c r="AM65" s="174"/>
      <c r="AN65" s="174"/>
      <c r="AO65" s="174"/>
      <c r="AP65" s="174"/>
      <c r="AQ65" s="331"/>
    </row>
    <row r="66" spans="1:46" hidden="1">
      <c r="A66" s="542" t="str">
        <f>A33</f>
        <v>Biểu 5: KẾT QUẢ THỰC HIỆN KẾ HOẠCH LÀM ĐƯỜNG GTNT, RÃNH THOÁT NƯỚC THEO CƠ CHẾ HỖ TRỢ XI MĂNG ĐẾN NGÀY 19/12/2016</v>
      </c>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row>
    <row r="67" spans="1:46" hidden="1">
      <c r="A67" s="543"/>
      <c r="B67" s="543"/>
      <c r="C67" s="543"/>
      <c r="D67" s="543"/>
      <c r="E67" s="543"/>
      <c r="F67" s="543"/>
      <c r="G67" s="543"/>
      <c r="H67" s="543"/>
      <c r="I67" s="543"/>
      <c r="J67" s="543"/>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3"/>
      <c r="AH67" s="543"/>
      <c r="AI67" s="543"/>
      <c r="AJ67" s="543"/>
      <c r="AK67" s="543"/>
      <c r="AL67" s="543"/>
      <c r="AM67" s="543"/>
      <c r="AN67" s="543"/>
      <c r="AO67" s="543"/>
      <c r="AP67" s="543"/>
      <c r="AQ67" s="543"/>
      <c r="AR67" s="543"/>
      <c r="AS67" s="543"/>
      <c r="AT67" s="543"/>
    </row>
    <row r="68" spans="1:46" ht="14.25" hidden="1" customHeight="1">
      <c r="A68" s="544" t="s">
        <v>0</v>
      </c>
      <c r="B68" s="533" t="s">
        <v>161</v>
      </c>
      <c r="C68" s="546" t="s">
        <v>162</v>
      </c>
      <c r="D68" s="546"/>
      <c r="E68" s="546"/>
      <c r="F68" s="546"/>
      <c r="G68" s="546"/>
      <c r="H68" s="546"/>
      <c r="I68" s="546"/>
      <c r="J68" s="546"/>
      <c r="K68" s="546"/>
      <c r="L68" s="546"/>
      <c r="M68" s="546"/>
      <c r="N68" s="546"/>
      <c r="O68" s="546"/>
      <c r="P68" s="546"/>
      <c r="Q68" s="546"/>
      <c r="R68" s="546"/>
      <c r="S68" s="546"/>
      <c r="T68" s="546"/>
      <c r="U68" s="546"/>
      <c r="V68" s="546"/>
      <c r="W68" s="547" t="s">
        <v>163</v>
      </c>
      <c r="X68" s="547"/>
      <c r="Y68" s="547"/>
      <c r="Z68" s="547"/>
      <c r="AA68" s="547"/>
      <c r="AB68" s="547"/>
      <c r="AC68" s="547"/>
      <c r="AD68" s="547"/>
      <c r="AE68" s="547"/>
      <c r="AF68" s="547"/>
      <c r="AG68" s="547"/>
      <c r="AH68" s="547"/>
      <c r="AI68" s="547"/>
      <c r="AJ68" s="547"/>
      <c r="AK68" s="547"/>
      <c r="AL68" s="547"/>
      <c r="AM68" s="547"/>
      <c r="AN68" s="547"/>
      <c r="AO68" s="547"/>
      <c r="AP68" s="547"/>
      <c r="AQ68" s="547" t="s">
        <v>164</v>
      </c>
      <c r="AR68" s="547"/>
      <c r="AS68" s="547" t="s">
        <v>165</v>
      </c>
      <c r="AT68" s="547"/>
    </row>
    <row r="69" spans="1:46" ht="15" hidden="1" customHeight="1">
      <c r="A69" s="545"/>
      <c r="B69" s="534"/>
      <c r="C69" s="533" t="s">
        <v>166</v>
      </c>
      <c r="D69" s="536" t="s">
        <v>167</v>
      </c>
      <c r="E69" s="536"/>
      <c r="F69" s="536"/>
      <c r="G69" s="536"/>
      <c r="H69" s="536"/>
      <c r="I69" s="533" t="s">
        <v>168</v>
      </c>
      <c r="J69" s="537" t="s">
        <v>167</v>
      </c>
      <c r="K69" s="537"/>
      <c r="L69" s="537"/>
      <c r="M69" s="537"/>
      <c r="N69" s="537"/>
      <c r="O69" s="537"/>
      <c r="P69" s="537"/>
      <c r="Q69" s="537"/>
      <c r="R69" s="537"/>
      <c r="S69" s="537"/>
      <c r="T69" s="537"/>
      <c r="U69" s="537"/>
      <c r="V69" s="552" t="s">
        <v>169</v>
      </c>
      <c r="W69" s="533" t="s">
        <v>170</v>
      </c>
      <c r="X69" s="555" t="s">
        <v>167</v>
      </c>
      <c r="Y69" s="555"/>
      <c r="Z69" s="555"/>
      <c r="AA69" s="555"/>
      <c r="AB69" s="555"/>
      <c r="AC69" s="533" t="s">
        <v>168</v>
      </c>
      <c r="AD69" s="537" t="s">
        <v>167</v>
      </c>
      <c r="AE69" s="537"/>
      <c r="AF69" s="537"/>
      <c r="AG69" s="537"/>
      <c r="AH69" s="537"/>
      <c r="AI69" s="537"/>
      <c r="AJ69" s="537"/>
      <c r="AK69" s="537"/>
      <c r="AL69" s="537"/>
      <c r="AM69" s="537"/>
      <c r="AN69" s="537"/>
      <c r="AO69" s="537"/>
      <c r="AP69" s="552" t="s">
        <v>171</v>
      </c>
      <c r="AQ69" s="548" t="s">
        <v>172</v>
      </c>
      <c r="AR69" s="548" t="s">
        <v>173</v>
      </c>
      <c r="AS69" s="548" t="s">
        <v>170</v>
      </c>
      <c r="AT69" s="548" t="s">
        <v>168</v>
      </c>
    </row>
    <row r="70" spans="1:46" ht="15" hidden="1" customHeight="1">
      <c r="A70" s="545"/>
      <c r="B70" s="534"/>
      <c r="C70" s="534"/>
      <c r="D70" s="552" t="s">
        <v>174</v>
      </c>
      <c r="E70" s="552" t="s">
        <v>175</v>
      </c>
      <c r="F70" s="552" t="s">
        <v>176</v>
      </c>
      <c r="G70" s="552" t="s">
        <v>177</v>
      </c>
      <c r="H70" s="552" t="s">
        <v>178</v>
      </c>
      <c r="I70" s="534"/>
      <c r="J70" s="537" t="s">
        <v>179</v>
      </c>
      <c r="K70" s="537"/>
      <c r="L70" s="537"/>
      <c r="M70" s="537"/>
      <c r="N70" s="537"/>
      <c r="O70" s="537"/>
      <c r="P70" s="537" t="s">
        <v>180</v>
      </c>
      <c r="Q70" s="537"/>
      <c r="R70" s="537"/>
      <c r="S70" s="537"/>
      <c r="T70" s="537"/>
      <c r="U70" s="537"/>
      <c r="V70" s="553"/>
      <c r="W70" s="534"/>
      <c r="X70" s="552" t="s">
        <v>174</v>
      </c>
      <c r="Y70" s="552" t="s">
        <v>175</v>
      </c>
      <c r="Z70" s="552" t="s">
        <v>176</v>
      </c>
      <c r="AA70" s="552" t="s">
        <v>177</v>
      </c>
      <c r="AB70" s="552" t="s">
        <v>178</v>
      </c>
      <c r="AC70" s="534"/>
      <c r="AD70" s="537" t="s">
        <v>179</v>
      </c>
      <c r="AE70" s="537"/>
      <c r="AF70" s="537"/>
      <c r="AG70" s="537"/>
      <c r="AH70" s="537"/>
      <c r="AI70" s="537"/>
      <c r="AJ70" s="537" t="s">
        <v>180</v>
      </c>
      <c r="AK70" s="537"/>
      <c r="AL70" s="537"/>
      <c r="AM70" s="537"/>
      <c r="AN70" s="537"/>
      <c r="AO70" s="537"/>
      <c r="AP70" s="553"/>
      <c r="AQ70" s="549"/>
      <c r="AR70" s="549"/>
      <c r="AS70" s="549"/>
      <c r="AT70" s="549"/>
    </row>
    <row r="71" spans="1:46" ht="15.5" hidden="1">
      <c r="A71" s="179"/>
      <c r="B71" s="534"/>
      <c r="C71" s="534"/>
      <c r="D71" s="553"/>
      <c r="E71" s="553"/>
      <c r="F71" s="553"/>
      <c r="G71" s="553"/>
      <c r="H71" s="553"/>
      <c r="I71" s="534"/>
      <c r="J71" s="556" t="s">
        <v>1</v>
      </c>
      <c r="K71" s="551" t="s">
        <v>181</v>
      </c>
      <c r="L71" s="551"/>
      <c r="M71" s="551" t="s">
        <v>182</v>
      </c>
      <c r="N71" s="551"/>
      <c r="O71" s="551" t="s">
        <v>183</v>
      </c>
      <c r="P71" s="556" t="s">
        <v>1</v>
      </c>
      <c r="Q71" s="551" t="s">
        <v>181</v>
      </c>
      <c r="R71" s="551"/>
      <c r="S71" s="551" t="s">
        <v>182</v>
      </c>
      <c r="T71" s="551"/>
      <c r="U71" s="551" t="s">
        <v>183</v>
      </c>
      <c r="V71" s="553"/>
      <c r="W71" s="534"/>
      <c r="X71" s="553"/>
      <c r="Y71" s="553"/>
      <c r="Z71" s="553"/>
      <c r="AA71" s="553"/>
      <c r="AB71" s="553"/>
      <c r="AC71" s="534"/>
      <c r="AD71" s="556" t="s">
        <v>1</v>
      </c>
      <c r="AE71" s="551" t="s">
        <v>181</v>
      </c>
      <c r="AF71" s="551"/>
      <c r="AG71" s="551" t="s">
        <v>182</v>
      </c>
      <c r="AH71" s="551"/>
      <c r="AI71" s="551" t="s">
        <v>183</v>
      </c>
      <c r="AJ71" s="556" t="s">
        <v>1</v>
      </c>
      <c r="AK71" s="551" t="s">
        <v>181</v>
      </c>
      <c r="AL71" s="551"/>
      <c r="AM71" s="551" t="s">
        <v>182</v>
      </c>
      <c r="AN71" s="551"/>
      <c r="AO71" s="551" t="s">
        <v>183</v>
      </c>
      <c r="AP71" s="553"/>
      <c r="AQ71" s="549"/>
      <c r="AR71" s="549"/>
      <c r="AS71" s="549"/>
      <c r="AT71" s="549"/>
    </row>
    <row r="72" spans="1:46" ht="90" hidden="1" customHeight="1">
      <c r="A72" s="179"/>
      <c r="B72" s="535"/>
      <c r="C72" s="535"/>
      <c r="D72" s="554"/>
      <c r="E72" s="554"/>
      <c r="F72" s="554"/>
      <c r="G72" s="554"/>
      <c r="H72" s="554"/>
      <c r="I72" s="535"/>
      <c r="J72" s="557"/>
      <c r="K72" s="186" t="s">
        <v>184</v>
      </c>
      <c r="L72" s="186" t="s">
        <v>185</v>
      </c>
      <c r="M72" s="186" t="s">
        <v>184</v>
      </c>
      <c r="N72" s="186" t="s">
        <v>185</v>
      </c>
      <c r="O72" s="551"/>
      <c r="P72" s="557"/>
      <c r="Q72" s="186" t="s">
        <v>184</v>
      </c>
      <c r="R72" s="186" t="s">
        <v>185</v>
      </c>
      <c r="S72" s="186" t="s">
        <v>184</v>
      </c>
      <c r="T72" s="186" t="s">
        <v>185</v>
      </c>
      <c r="U72" s="551"/>
      <c r="V72" s="554"/>
      <c r="W72" s="535"/>
      <c r="X72" s="554"/>
      <c r="Y72" s="554"/>
      <c r="Z72" s="554"/>
      <c r="AA72" s="554"/>
      <c r="AB72" s="554"/>
      <c r="AC72" s="535"/>
      <c r="AD72" s="557"/>
      <c r="AE72" s="186" t="s">
        <v>184</v>
      </c>
      <c r="AF72" s="186" t="s">
        <v>185</v>
      </c>
      <c r="AG72" s="186" t="s">
        <v>184</v>
      </c>
      <c r="AH72" s="186" t="s">
        <v>185</v>
      </c>
      <c r="AI72" s="551"/>
      <c r="AJ72" s="557"/>
      <c r="AK72" s="186" t="s">
        <v>184</v>
      </c>
      <c r="AL72" s="186" t="s">
        <v>185</v>
      </c>
      <c r="AM72" s="186" t="s">
        <v>184</v>
      </c>
      <c r="AN72" s="186" t="s">
        <v>185</v>
      </c>
      <c r="AO72" s="551"/>
      <c r="AP72" s="554"/>
      <c r="AQ72" s="550"/>
      <c r="AR72" s="550"/>
      <c r="AS72" s="550"/>
      <c r="AT72" s="550"/>
    </row>
    <row r="73" spans="1:46" hidden="1">
      <c r="A73" s="177" t="s">
        <v>25</v>
      </c>
      <c r="B73" s="178" t="s">
        <v>215</v>
      </c>
      <c r="C73" s="178"/>
      <c r="D73" s="243"/>
      <c r="E73" s="243"/>
      <c r="F73" s="243"/>
      <c r="G73" s="243"/>
      <c r="H73" s="243"/>
      <c r="I73" s="178"/>
      <c r="J73" s="180"/>
      <c r="K73" s="180"/>
      <c r="L73" s="180"/>
      <c r="M73" s="180"/>
      <c r="N73" s="180"/>
      <c r="O73" s="180"/>
      <c r="P73" s="180"/>
      <c r="Q73" s="180"/>
      <c r="R73" s="180"/>
      <c r="S73" s="180"/>
      <c r="T73" s="180"/>
      <c r="U73" s="180"/>
      <c r="V73" s="244"/>
      <c r="W73" s="178"/>
      <c r="X73" s="243"/>
      <c r="Y73" s="243"/>
      <c r="Z73" s="243"/>
      <c r="AA73" s="243"/>
      <c r="AB73" s="243"/>
      <c r="AC73" s="178"/>
      <c r="AD73" s="180"/>
      <c r="AE73" s="180"/>
      <c r="AF73" s="180"/>
      <c r="AG73" s="180"/>
      <c r="AH73" s="180"/>
      <c r="AI73" s="180"/>
      <c r="AJ73" s="180"/>
      <c r="AK73" s="180"/>
      <c r="AL73" s="180"/>
      <c r="AM73" s="180"/>
      <c r="AN73" s="180"/>
      <c r="AO73" s="180"/>
      <c r="AP73" s="243"/>
      <c r="AQ73" s="244"/>
      <c r="AR73" s="244"/>
      <c r="AS73" s="244"/>
      <c r="AT73" s="244"/>
    </row>
    <row r="74" spans="1:46" hidden="1">
      <c r="A74" s="245">
        <v>1</v>
      </c>
      <c r="B74" s="246" t="s">
        <v>216</v>
      </c>
      <c r="C74" s="247">
        <f t="shared" ref="C74:C98" si="45">SUM(D74:H74)</f>
        <v>6.0589999999999993</v>
      </c>
      <c r="D74" s="248"/>
      <c r="E74" s="248">
        <v>0.41199999999999998</v>
      </c>
      <c r="F74" s="248">
        <v>2.3069999999999999</v>
      </c>
      <c r="G74" s="248">
        <v>3.34</v>
      </c>
      <c r="H74" s="248"/>
      <c r="I74" s="249">
        <f t="shared" ref="I74:I98" si="46">J74+P74</f>
        <v>0.752</v>
      </c>
      <c r="J74" s="240">
        <f t="shared" ref="J74:J98" si="47">SUM(K74:O74)</f>
        <v>0</v>
      </c>
      <c r="K74" s="196"/>
      <c r="L74" s="196"/>
      <c r="M74" s="196"/>
      <c r="N74" s="196"/>
      <c r="O74" s="196"/>
      <c r="P74" s="240">
        <f t="shared" ref="P74:P98" si="48">SUM(Q74:U74)</f>
        <v>0.752</v>
      </c>
      <c r="Q74" s="196">
        <v>0.152</v>
      </c>
      <c r="R74" s="196">
        <v>0.6</v>
      </c>
      <c r="S74" s="196"/>
      <c r="T74" s="196"/>
      <c r="U74" s="196"/>
      <c r="V74" s="238">
        <f t="shared" ref="V74:V98" si="49">D74*194.67+E74*173.04+F74*111.72+G74*111.72+H74*127.68+K74*86.255+L74*71.648+M74*84.489+N74*58.258+O74*53.065+Q74*72.658+R74*60.9+S74*74.716+T74*50.578+U74*46.62</f>
        <v>749.75933600000008</v>
      </c>
      <c r="W74" s="227">
        <f t="shared" ref="W74:W98" si="50">SUM(X74:AB74)</f>
        <v>4.5830000000000002</v>
      </c>
      <c r="X74" s="237"/>
      <c r="Y74" s="237">
        <v>0.41</v>
      </c>
      <c r="Z74" s="237">
        <v>2.4540000000000002</v>
      </c>
      <c r="AA74" s="237">
        <v>1.7190000000000001</v>
      </c>
      <c r="AB74" s="237"/>
      <c r="AC74" s="227">
        <v>0.8</v>
      </c>
      <c r="AD74" s="239">
        <f t="shared" ref="AD74:AD98" si="51">SUM(AE74:AI74)</f>
        <v>0</v>
      </c>
      <c r="AE74" s="237"/>
      <c r="AF74" s="237"/>
      <c r="AG74" s="237"/>
      <c r="AH74" s="237"/>
      <c r="AI74" s="237"/>
      <c r="AJ74" s="239">
        <f t="shared" ref="AJ74:AJ98" si="52">SUM(AK74:AO74)</f>
        <v>0.47</v>
      </c>
      <c r="AK74" s="237">
        <v>0</v>
      </c>
      <c r="AL74" s="237">
        <v>0.36</v>
      </c>
      <c r="AM74" s="237">
        <v>0</v>
      </c>
      <c r="AN74" s="237">
        <v>0.11</v>
      </c>
      <c r="AO74" s="237"/>
      <c r="AP74" s="250">
        <v>537.20000000000005</v>
      </c>
      <c r="AQ74" s="334">
        <f t="shared" ref="AQ74:AQ98" si="53">W74/C74</f>
        <v>0.75639544479287024</v>
      </c>
      <c r="AR74" s="207">
        <f>AC74/I74</f>
        <v>1.0638297872340425</v>
      </c>
      <c r="AS74" s="209">
        <f>W74-'[1]1-9'!W73</f>
        <v>1.4910000000000005</v>
      </c>
      <c r="AT74" s="196"/>
    </row>
    <row r="75" spans="1:46" hidden="1">
      <c r="A75" s="245">
        <v>2</v>
      </c>
      <c r="B75" s="251" t="s">
        <v>217</v>
      </c>
      <c r="C75" s="247">
        <f t="shared" si="45"/>
        <v>4.67</v>
      </c>
      <c r="D75" s="248"/>
      <c r="E75" s="248"/>
      <c r="F75" s="248">
        <v>2.2200000000000002</v>
      </c>
      <c r="G75" s="248">
        <v>2.4499999999999997</v>
      </c>
      <c r="H75" s="248"/>
      <c r="I75" s="249">
        <f t="shared" si="46"/>
        <v>0</v>
      </c>
      <c r="J75" s="240">
        <f t="shared" si="47"/>
        <v>0</v>
      </c>
      <c r="K75" s="196"/>
      <c r="L75" s="196"/>
      <c r="M75" s="196"/>
      <c r="N75" s="196"/>
      <c r="O75" s="196"/>
      <c r="P75" s="240">
        <f t="shared" si="48"/>
        <v>0</v>
      </c>
      <c r="Q75" s="196"/>
      <c r="R75" s="196"/>
      <c r="S75" s="196"/>
      <c r="T75" s="196"/>
      <c r="U75" s="196"/>
      <c r="V75" s="238">
        <f t="shared" si="49"/>
        <v>521.73239999999998</v>
      </c>
      <c r="W75" s="227">
        <f t="shared" si="50"/>
        <v>4.5380000000000003</v>
      </c>
      <c r="X75" s="237"/>
      <c r="Y75" s="237"/>
      <c r="Z75" s="237">
        <v>3.5680000000000001</v>
      </c>
      <c r="AA75" s="237">
        <v>0.97</v>
      </c>
      <c r="AB75" s="237"/>
      <c r="AC75" s="227"/>
      <c r="AD75" s="239">
        <f t="shared" si="51"/>
        <v>0</v>
      </c>
      <c r="AE75" s="237"/>
      <c r="AF75" s="237"/>
      <c r="AG75" s="237"/>
      <c r="AH75" s="237"/>
      <c r="AI75" s="237"/>
      <c r="AJ75" s="239">
        <f t="shared" si="52"/>
        <v>0</v>
      </c>
      <c r="AK75" s="237"/>
      <c r="AL75" s="237"/>
      <c r="AM75" s="237"/>
      <c r="AN75" s="237"/>
      <c r="AO75" s="237"/>
      <c r="AP75" s="250">
        <v>507</v>
      </c>
      <c r="AQ75" s="334">
        <f t="shared" si="53"/>
        <v>0.97173447537473245</v>
      </c>
      <c r="AR75" s="207"/>
      <c r="AS75" s="209">
        <f>W75-'[1]1-9'!W74</f>
        <v>2.8380000000000001</v>
      </c>
      <c r="AT75" s="196"/>
    </row>
    <row r="76" spans="1:46" hidden="1">
      <c r="A76" s="245">
        <v>3</v>
      </c>
      <c r="B76" s="246" t="s">
        <v>218</v>
      </c>
      <c r="C76" s="247">
        <f t="shared" si="45"/>
        <v>1.7799999999999998</v>
      </c>
      <c r="D76" s="248"/>
      <c r="E76" s="248">
        <v>0.15</v>
      </c>
      <c r="F76" s="248">
        <v>1.63</v>
      </c>
      <c r="G76" s="248"/>
      <c r="H76" s="248"/>
      <c r="I76" s="249">
        <f t="shared" si="46"/>
        <v>1.2</v>
      </c>
      <c r="J76" s="240">
        <f t="shared" si="47"/>
        <v>0</v>
      </c>
      <c r="K76" s="196"/>
      <c r="L76" s="196"/>
      <c r="M76" s="196"/>
      <c r="N76" s="196"/>
      <c r="O76" s="196"/>
      <c r="P76" s="240">
        <f t="shared" si="48"/>
        <v>1.2</v>
      </c>
      <c r="Q76" s="196">
        <v>0.6</v>
      </c>
      <c r="R76" s="196"/>
      <c r="S76" s="196">
        <v>0.6</v>
      </c>
      <c r="T76" s="196"/>
      <c r="U76" s="196"/>
      <c r="V76" s="238">
        <f t="shared" si="49"/>
        <v>296.48399999999998</v>
      </c>
      <c r="W76" s="227">
        <f t="shared" si="50"/>
        <v>1.093</v>
      </c>
      <c r="X76" s="237"/>
      <c r="Y76" s="237">
        <v>0.52</v>
      </c>
      <c r="Z76" s="237">
        <v>0.57299999999999995</v>
      </c>
      <c r="AA76" s="237"/>
      <c r="AB76" s="237"/>
      <c r="AC76" s="227"/>
      <c r="AD76" s="239">
        <f t="shared" si="51"/>
        <v>0</v>
      </c>
      <c r="AE76" s="237"/>
      <c r="AF76" s="237"/>
      <c r="AG76" s="237"/>
      <c r="AH76" s="237"/>
      <c r="AI76" s="237"/>
      <c r="AJ76" s="239">
        <f t="shared" si="52"/>
        <v>0</v>
      </c>
      <c r="AK76" s="237">
        <v>0</v>
      </c>
      <c r="AL76" s="237">
        <v>0</v>
      </c>
      <c r="AM76" s="237">
        <v>0</v>
      </c>
      <c r="AN76" s="237">
        <v>0</v>
      </c>
      <c r="AO76" s="237"/>
      <c r="AP76" s="250">
        <v>145</v>
      </c>
      <c r="AQ76" s="334">
        <f t="shared" si="53"/>
        <v>0.61404494382022479</v>
      </c>
      <c r="AR76" s="207">
        <f>AC76/I76</f>
        <v>0</v>
      </c>
      <c r="AS76" s="209">
        <f>W76-'[1]1-9'!W75</f>
        <v>0.89300000000000002</v>
      </c>
      <c r="AT76" s="196"/>
    </row>
    <row r="77" spans="1:46" hidden="1">
      <c r="A77" s="245">
        <v>4</v>
      </c>
      <c r="B77" s="246" t="s">
        <v>219</v>
      </c>
      <c r="C77" s="247">
        <f t="shared" si="45"/>
        <v>2.5</v>
      </c>
      <c r="D77" s="248"/>
      <c r="E77" s="248"/>
      <c r="F77" s="248">
        <v>1.8</v>
      </c>
      <c r="G77" s="248">
        <v>0.7</v>
      </c>
      <c r="H77" s="248"/>
      <c r="I77" s="249">
        <f t="shared" si="46"/>
        <v>8</v>
      </c>
      <c r="J77" s="240">
        <f t="shared" si="47"/>
        <v>0</v>
      </c>
      <c r="K77" s="196"/>
      <c r="L77" s="196"/>
      <c r="M77" s="196"/>
      <c r="N77" s="196"/>
      <c r="O77" s="196"/>
      <c r="P77" s="240">
        <f t="shared" si="48"/>
        <v>8</v>
      </c>
      <c r="Q77" s="196"/>
      <c r="R77" s="196"/>
      <c r="S77" s="196"/>
      <c r="T77" s="196">
        <v>8</v>
      </c>
      <c r="U77" s="196"/>
      <c r="V77" s="238">
        <f t="shared" si="49"/>
        <v>683.92399999999998</v>
      </c>
      <c r="W77" s="227">
        <f t="shared" si="50"/>
        <v>2.7810000000000001</v>
      </c>
      <c r="X77" s="237"/>
      <c r="Y77" s="237"/>
      <c r="Z77" s="237">
        <v>1.9810000000000001</v>
      </c>
      <c r="AA77" s="237">
        <v>0.8</v>
      </c>
      <c r="AB77" s="237"/>
      <c r="AC77" s="227">
        <v>1.5</v>
      </c>
      <c r="AD77" s="239">
        <f t="shared" si="51"/>
        <v>0</v>
      </c>
      <c r="AE77" s="237"/>
      <c r="AF77" s="237"/>
      <c r="AG77" s="237"/>
      <c r="AH77" s="237"/>
      <c r="AI77" s="237"/>
      <c r="AJ77" s="239">
        <f t="shared" si="52"/>
        <v>1.6</v>
      </c>
      <c r="AK77" s="237">
        <v>0</v>
      </c>
      <c r="AL77" s="237">
        <v>0</v>
      </c>
      <c r="AM77" s="237">
        <v>0</v>
      </c>
      <c r="AN77" s="237">
        <v>1.6</v>
      </c>
      <c r="AO77" s="237"/>
      <c r="AP77" s="250">
        <v>396</v>
      </c>
      <c r="AQ77" s="334">
        <f t="shared" si="53"/>
        <v>1.1124000000000001</v>
      </c>
      <c r="AR77" s="207">
        <f>AC77/I77</f>
        <v>0.1875</v>
      </c>
      <c r="AS77" s="209">
        <f>W77-'[1]1-9'!W76</f>
        <v>0.7410000000000001</v>
      </c>
      <c r="AT77" s="196"/>
    </row>
    <row r="78" spans="1:46" hidden="1">
      <c r="A78" s="245">
        <v>5</v>
      </c>
      <c r="B78" s="246" t="s">
        <v>220</v>
      </c>
      <c r="C78" s="247">
        <f t="shared" si="45"/>
        <v>1.78</v>
      </c>
      <c r="D78" s="248"/>
      <c r="E78" s="248"/>
      <c r="F78" s="248">
        <v>1.05</v>
      </c>
      <c r="G78" s="248">
        <v>0.73</v>
      </c>
      <c r="H78" s="248"/>
      <c r="I78" s="249">
        <f t="shared" si="46"/>
        <v>1.7400000000000002</v>
      </c>
      <c r="J78" s="240">
        <f t="shared" si="47"/>
        <v>0.64</v>
      </c>
      <c r="K78" s="196">
        <v>0.64</v>
      </c>
      <c r="L78" s="196"/>
      <c r="M78" s="196"/>
      <c r="N78" s="196"/>
      <c r="O78" s="196"/>
      <c r="P78" s="240">
        <f t="shared" si="48"/>
        <v>1.1000000000000001</v>
      </c>
      <c r="Q78" s="196">
        <v>0.65</v>
      </c>
      <c r="R78" s="196">
        <v>0.45</v>
      </c>
      <c r="S78" s="196"/>
      <c r="T78" s="196"/>
      <c r="U78" s="196"/>
      <c r="V78" s="238">
        <f t="shared" si="49"/>
        <v>328.69749999999999</v>
      </c>
      <c r="W78" s="227">
        <f t="shared" si="50"/>
        <v>3.19</v>
      </c>
      <c r="X78" s="237">
        <v>2.1</v>
      </c>
      <c r="Y78" s="237"/>
      <c r="Z78" s="237">
        <v>0.73</v>
      </c>
      <c r="AA78" s="237">
        <v>0.36</v>
      </c>
      <c r="AB78" s="237"/>
      <c r="AC78" s="227">
        <v>0.3</v>
      </c>
      <c r="AD78" s="239">
        <f t="shared" si="51"/>
        <v>0</v>
      </c>
      <c r="AE78" s="237"/>
      <c r="AF78" s="237"/>
      <c r="AG78" s="237"/>
      <c r="AH78" s="237"/>
      <c r="AI78" s="237"/>
      <c r="AJ78" s="239">
        <f t="shared" si="52"/>
        <v>0.3</v>
      </c>
      <c r="AK78" s="237">
        <v>0.3</v>
      </c>
      <c r="AL78" s="237">
        <v>0</v>
      </c>
      <c r="AM78" s="237">
        <v>0</v>
      </c>
      <c r="AN78" s="237">
        <v>0</v>
      </c>
      <c r="AO78" s="237"/>
      <c r="AP78" s="250">
        <v>365.6</v>
      </c>
      <c r="AQ78" s="334">
        <f t="shared" si="53"/>
        <v>1.7921348314606742</v>
      </c>
      <c r="AR78" s="207">
        <f>AC78/I78</f>
        <v>0.17241379310344826</v>
      </c>
      <c r="AS78" s="209">
        <f>W78-'[1]1-9'!W77</f>
        <v>2.84</v>
      </c>
      <c r="AT78" s="196"/>
    </row>
    <row r="79" spans="1:46" hidden="1">
      <c r="A79" s="245">
        <v>6</v>
      </c>
      <c r="B79" s="246" t="s">
        <v>221</v>
      </c>
      <c r="C79" s="247">
        <f t="shared" si="45"/>
        <v>2.5919999999999996</v>
      </c>
      <c r="D79" s="248"/>
      <c r="E79" s="248"/>
      <c r="F79" s="248">
        <v>1.3819999999999999</v>
      </c>
      <c r="G79" s="248">
        <v>1.21</v>
      </c>
      <c r="H79" s="248"/>
      <c r="I79" s="249">
        <f t="shared" si="46"/>
        <v>2.0300000000000002</v>
      </c>
      <c r="J79" s="240">
        <f t="shared" si="47"/>
        <v>0.23</v>
      </c>
      <c r="K79" s="196"/>
      <c r="L79" s="196"/>
      <c r="M79" s="196">
        <v>0.23</v>
      </c>
      <c r="N79" s="196"/>
      <c r="O79" s="196"/>
      <c r="P79" s="240">
        <f t="shared" si="48"/>
        <v>1.8</v>
      </c>
      <c r="Q79" s="196"/>
      <c r="R79" s="196"/>
      <c r="S79" s="196"/>
      <c r="T79" s="196">
        <v>1.8</v>
      </c>
      <c r="U79" s="196"/>
      <c r="V79" s="238">
        <f t="shared" si="49"/>
        <v>400.05110999999999</v>
      </c>
      <c r="W79" s="227">
        <f t="shared" si="50"/>
        <v>0.83399999999999996</v>
      </c>
      <c r="X79" s="237"/>
      <c r="Y79" s="237"/>
      <c r="Z79" s="237">
        <v>0.56399999999999995</v>
      </c>
      <c r="AA79" s="237">
        <v>0.27</v>
      </c>
      <c r="AB79" s="237"/>
      <c r="AC79" s="227">
        <v>1.83</v>
      </c>
      <c r="AD79" s="239">
        <f t="shared" si="51"/>
        <v>0.54200000000000004</v>
      </c>
      <c r="AE79" s="237">
        <v>0</v>
      </c>
      <c r="AF79" s="237">
        <v>0</v>
      </c>
      <c r="AG79" s="237">
        <v>0.34200000000000003</v>
      </c>
      <c r="AH79" s="237">
        <v>0.2</v>
      </c>
      <c r="AI79" s="237"/>
      <c r="AJ79" s="239">
        <f t="shared" si="52"/>
        <v>1.4530000000000001</v>
      </c>
      <c r="AK79" s="237">
        <v>0</v>
      </c>
      <c r="AL79" s="237">
        <v>0</v>
      </c>
      <c r="AM79" s="237">
        <v>0.27</v>
      </c>
      <c r="AN79" s="237">
        <v>1.1830000000000001</v>
      </c>
      <c r="AO79" s="237"/>
      <c r="AP79" s="250">
        <v>197.7</v>
      </c>
      <c r="AQ79" s="334">
        <f t="shared" si="53"/>
        <v>0.3217592592592593</v>
      </c>
      <c r="AR79" s="207">
        <f>AC79/I79</f>
        <v>0.90147783251231517</v>
      </c>
      <c r="AS79" s="209">
        <f>W79-'[1]1-9'!W78</f>
        <v>0.31399999999999995</v>
      </c>
      <c r="AT79" s="196"/>
    </row>
    <row r="80" spans="1:46" hidden="1">
      <c r="A80" s="245">
        <v>7</v>
      </c>
      <c r="B80" s="246" t="s">
        <v>222</v>
      </c>
      <c r="C80" s="247">
        <f t="shared" si="45"/>
        <v>9.7129999999999992</v>
      </c>
      <c r="D80" s="248">
        <v>0.65</v>
      </c>
      <c r="E80" s="248">
        <v>3.68</v>
      </c>
      <c r="F80" s="248">
        <v>5.0330000000000004</v>
      </c>
      <c r="G80" s="248">
        <v>0.35</v>
      </c>
      <c r="H80" s="248"/>
      <c r="I80" s="249">
        <f t="shared" si="46"/>
        <v>0.8</v>
      </c>
      <c r="J80" s="240">
        <f t="shared" si="47"/>
        <v>0</v>
      </c>
      <c r="K80" s="196"/>
      <c r="L80" s="196"/>
      <c r="M80" s="196"/>
      <c r="N80" s="196"/>
      <c r="O80" s="196"/>
      <c r="P80" s="240">
        <f t="shared" si="48"/>
        <v>0.8</v>
      </c>
      <c r="Q80" s="196">
        <v>0.8</v>
      </c>
      <c r="R80" s="196"/>
      <c r="S80" s="196"/>
      <c r="T80" s="196"/>
      <c r="U80" s="196"/>
      <c r="V80" s="238">
        <f t="shared" si="49"/>
        <v>1422.8378600000003</v>
      </c>
      <c r="W80" s="227">
        <f t="shared" si="50"/>
        <v>6.8796000000000008</v>
      </c>
      <c r="X80" s="237"/>
      <c r="Y80" s="237">
        <v>2.2669999999999999</v>
      </c>
      <c r="Z80" s="237">
        <v>4.3456000000000001</v>
      </c>
      <c r="AA80" s="237">
        <v>0.26700000000000002</v>
      </c>
      <c r="AB80" s="237"/>
      <c r="AC80" s="227"/>
      <c r="AD80" s="239">
        <f t="shared" si="51"/>
        <v>0</v>
      </c>
      <c r="AE80" s="237"/>
      <c r="AF80" s="237"/>
      <c r="AG80" s="237"/>
      <c r="AH80" s="237"/>
      <c r="AI80" s="237"/>
      <c r="AJ80" s="239">
        <f t="shared" si="52"/>
        <v>0</v>
      </c>
      <c r="AK80" s="237">
        <v>0</v>
      </c>
      <c r="AL80" s="237">
        <v>0</v>
      </c>
      <c r="AM80" s="237">
        <v>0</v>
      </c>
      <c r="AN80" s="237">
        <v>0</v>
      </c>
      <c r="AO80" s="237"/>
      <c r="AP80" s="250">
        <v>914.2</v>
      </c>
      <c r="AQ80" s="334">
        <f t="shared" si="53"/>
        <v>0.70828786162874513</v>
      </c>
      <c r="AR80" s="207">
        <f>AC80/I80</f>
        <v>0</v>
      </c>
      <c r="AS80" s="209">
        <f>W80-'[1]1-9'!W79</f>
        <v>3.8996000000000013</v>
      </c>
      <c r="AT80" s="196"/>
    </row>
    <row r="81" spans="1:46" hidden="1">
      <c r="A81" s="245">
        <v>8</v>
      </c>
      <c r="B81" s="246" t="s">
        <v>223</v>
      </c>
      <c r="C81" s="247">
        <f t="shared" si="45"/>
        <v>5.57</v>
      </c>
      <c r="D81" s="248"/>
      <c r="E81" s="248">
        <v>0.4</v>
      </c>
      <c r="F81" s="248">
        <v>3.9200000000000004</v>
      </c>
      <c r="G81" s="248">
        <v>1.25</v>
      </c>
      <c r="H81" s="248"/>
      <c r="I81" s="249">
        <f t="shared" si="46"/>
        <v>0</v>
      </c>
      <c r="J81" s="240">
        <f t="shared" si="47"/>
        <v>0</v>
      </c>
      <c r="K81" s="196"/>
      <c r="L81" s="196"/>
      <c r="M81" s="196"/>
      <c r="N81" s="196"/>
      <c r="O81" s="196"/>
      <c r="P81" s="240">
        <f t="shared" si="48"/>
        <v>0</v>
      </c>
      <c r="Q81" s="196"/>
      <c r="R81" s="196"/>
      <c r="S81" s="196"/>
      <c r="T81" s="196"/>
      <c r="U81" s="196"/>
      <c r="V81" s="238">
        <f t="shared" si="49"/>
        <v>646.80840000000001</v>
      </c>
      <c r="W81" s="227">
        <f t="shared" si="50"/>
        <v>5.7039999999999997</v>
      </c>
      <c r="X81" s="237"/>
      <c r="Y81" s="237">
        <v>0.33</v>
      </c>
      <c r="Z81" s="237">
        <v>4.7039999999999997</v>
      </c>
      <c r="AA81" s="237">
        <v>0.67</v>
      </c>
      <c r="AB81" s="237"/>
      <c r="AC81" s="227">
        <v>0.48</v>
      </c>
      <c r="AD81" s="239">
        <f t="shared" si="51"/>
        <v>0</v>
      </c>
      <c r="AE81" s="237"/>
      <c r="AF81" s="237"/>
      <c r="AG81" s="237"/>
      <c r="AH81" s="237"/>
      <c r="AI81" s="237"/>
      <c r="AJ81" s="239">
        <f t="shared" si="52"/>
        <v>0</v>
      </c>
      <c r="AK81" s="237"/>
      <c r="AL81" s="237"/>
      <c r="AM81" s="237"/>
      <c r="AN81" s="237"/>
      <c r="AO81" s="237"/>
      <c r="AP81" s="250">
        <v>711.5</v>
      </c>
      <c r="AQ81" s="334">
        <f t="shared" si="53"/>
        <v>1.0240574506283662</v>
      </c>
      <c r="AR81" s="207"/>
      <c r="AS81" s="209">
        <f>W81-'[1]1-9'!W80</f>
        <v>3.214</v>
      </c>
      <c r="AT81" s="196"/>
    </row>
    <row r="82" spans="1:46" hidden="1">
      <c r="A82" s="245">
        <v>9</v>
      </c>
      <c r="B82" s="246" t="s">
        <v>224</v>
      </c>
      <c r="C82" s="247">
        <f t="shared" si="45"/>
        <v>4.2629999999999999</v>
      </c>
      <c r="D82" s="248"/>
      <c r="E82" s="248">
        <v>0.4</v>
      </c>
      <c r="F82" s="248">
        <v>2.8130000000000002</v>
      </c>
      <c r="G82" s="248">
        <v>1.05</v>
      </c>
      <c r="H82" s="248"/>
      <c r="I82" s="249">
        <f t="shared" si="46"/>
        <v>0.3</v>
      </c>
      <c r="J82" s="240">
        <f t="shared" si="47"/>
        <v>0</v>
      </c>
      <c r="K82" s="196"/>
      <c r="L82" s="196"/>
      <c r="M82" s="196"/>
      <c r="N82" s="196"/>
      <c r="O82" s="196"/>
      <c r="P82" s="240">
        <f t="shared" si="48"/>
        <v>0.3</v>
      </c>
      <c r="Q82" s="196"/>
      <c r="R82" s="196">
        <v>0.3</v>
      </c>
      <c r="S82" s="196"/>
      <c r="T82" s="196"/>
      <c r="U82" s="196"/>
      <c r="V82" s="238">
        <f t="shared" si="49"/>
        <v>519.06036000000006</v>
      </c>
      <c r="W82" s="227">
        <f t="shared" si="50"/>
        <v>3.8159999999999998</v>
      </c>
      <c r="X82" s="237"/>
      <c r="Y82" s="237">
        <v>0.11</v>
      </c>
      <c r="Z82" s="237">
        <v>2.9260000000000002</v>
      </c>
      <c r="AA82" s="237">
        <v>0.78</v>
      </c>
      <c r="AB82" s="237"/>
      <c r="AC82" s="227">
        <v>0.41199999999999998</v>
      </c>
      <c r="AD82" s="239">
        <f t="shared" si="51"/>
        <v>0</v>
      </c>
      <c r="AE82" s="237"/>
      <c r="AF82" s="237"/>
      <c r="AG82" s="237"/>
      <c r="AH82" s="237"/>
      <c r="AI82" s="237"/>
      <c r="AJ82" s="239">
        <f t="shared" si="52"/>
        <v>0.3</v>
      </c>
      <c r="AK82" s="237">
        <v>0</v>
      </c>
      <c r="AL82" s="237">
        <v>0.3</v>
      </c>
      <c r="AM82" s="237">
        <v>0</v>
      </c>
      <c r="AN82" s="237">
        <v>0</v>
      </c>
      <c r="AO82" s="237"/>
      <c r="AP82" s="250">
        <v>458.2</v>
      </c>
      <c r="AQ82" s="334">
        <f t="shared" si="53"/>
        <v>0.89514426460239271</v>
      </c>
      <c r="AR82" s="207">
        <f>AC82/I82</f>
        <v>1.3733333333333333</v>
      </c>
      <c r="AS82" s="209">
        <f>W82-'[1]1-9'!W81</f>
        <v>1.5449999999999999</v>
      </c>
      <c r="AT82" s="196"/>
    </row>
    <row r="83" spans="1:46" hidden="1">
      <c r="A83" s="245">
        <v>10</v>
      </c>
      <c r="B83" s="246" t="s">
        <v>225</v>
      </c>
      <c r="C83" s="247">
        <f t="shared" si="45"/>
        <v>0.3</v>
      </c>
      <c r="D83" s="248"/>
      <c r="E83" s="248"/>
      <c r="F83" s="248">
        <v>0.05</v>
      </c>
      <c r="G83" s="248">
        <v>0.25</v>
      </c>
      <c r="H83" s="248"/>
      <c r="I83" s="249">
        <f t="shared" si="46"/>
        <v>0</v>
      </c>
      <c r="J83" s="240">
        <f t="shared" si="47"/>
        <v>0</v>
      </c>
      <c r="K83" s="196"/>
      <c r="L83" s="196"/>
      <c r="M83" s="196"/>
      <c r="N83" s="196"/>
      <c r="O83" s="196"/>
      <c r="P83" s="240">
        <f t="shared" si="48"/>
        <v>0</v>
      </c>
      <c r="Q83" s="196"/>
      <c r="R83" s="196"/>
      <c r="S83" s="196"/>
      <c r="T83" s="196"/>
      <c r="U83" s="196"/>
      <c r="V83" s="238">
        <f t="shared" si="49"/>
        <v>33.515999999999998</v>
      </c>
      <c r="W83" s="227">
        <f t="shared" si="50"/>
        <v>0.54200000000000004</v>
      </c>
      <c r="X83" s="237"/>
      <c r="Y83" s="237">
        <v>5.6000000000000001E-2</v>
      </c>
      <c r="Z83" s="237">
        <v>0.23600000000000002</v>
      </c>
      <c r="AA83" s="237">
        <v>0.25</v>
      </c>
      <c r="AB83" s="237"/>
      <c r="AC83" s="227"/>
      <c r="AD83" s="239">
        <f t="shared" si="51"/>
        <v>0</v>
      </c>
      <c r="AE83" s="237"/>
      <c r="AF83" s="237"/>
      <c r="AG83" s="237"/>
      <c r="AH83" s="237"/>
      <c r="AI83" s="237"/>
      <c r="AJ83" s="239">
        <f t="shared" si="52"/>
        <v>0</v>
      </c>
      <c r="AK83" s="237"/>
      <c r="AL83" s="237"/>
      <c r="AM83" s="237"/>
      <c r="AN83" s="237"/>
      <c r="AO83" s="237"/>
      <c r="AP83" s="250">
        <v>64</v>
      </c>
      <c r="AQ83" s="334">
        <f t="shared" si="53"/>
        <v>1.8066666666666669</v>
      </c>
      <c r="AR83" s="207"/>
      <c r="AS83" s="209">
        <f>W83-'[1]1-9'!W82</f>
        <v>0.24200000000000005</v>
      </c>
      <c r="AT83" s="196"/>
    </row>
    <row r="84" spans="1:46" hidden="1">
      <c r="A84" s="245">
        <v>11</v>
      </c>
      <c r="B84" s="246" t="s">
        <v>226</v>
      </c>
      <c r="C84" s="247">
        <f t="shared" si="45"/>
        <v>8.6</v>
      </c>
      <c r="D84" s="248"/>
      <c r="E84" s="248">
        <v>2.5</v>
      </c>
      <c r="F84" s="248">
        <v>3.2</v>
      </c>
      <c r="G84" s="248">
        <v>2.9</v>
      </c>
      <c r="H84" s="248"/>
      <c r="I84" s="249">
        <f t="shared" si="46"/>
        <v>4.5</v>
      </c>
      <c r="J84" s="240">
        <f t="shared" si="47"/>
        <v>0</v>
      </c>
      <c r="K84" s="196"/>
      <c r="L84" s="196"/>
      <c r="M84" s="196"/>
      <c r="N84" s="196"/>
      <c r="O84" s="196"/>
      <c r="P84" s="240">
        <f t="shared" si="48"/>
        <v>4.5</v>
      </c>
      <c r="Q84" s="196"/>
      <c r="R84" s="196">
        <v>1.5</v>
      </c>
      <c r="S84" s="196"/>
      <c r="T84" s="196">
        <v>3</v>
      </c>
      <c r="U84" s="196"/>
      <c r="V84" s="238">
        <f t="shared" si="49"/>
        <v>1357.1759999999999</v>
      </c>
      <c r="W84" s="227">
        <f t="shared" si="50"/>
        <v>6.6879999999999997</v>
      </c>
      <c r="X84" s="237"/>
      <c r="Y84" s="237">
        <v>1.75</v>
      </c>
      <c r="Z84" s="237">
        <v>4.1379999999999999</v>
      </c>
      <c r="AA84" s="237">
        <v>0.8</v>
      </c>
      <c r="AB84" s="237"/>
      <c r="AC84" s="227">
        <v>0</v>
      </c>
      <c r="AD84" s="239">
        <f t="shared" si="51"/>
        <v>0</v>
      </c>
      <c r="AE84" s="237"/>
      <c r="AF84" s="237"/>
      <c r="AG84" s="237"/>
      <c r="AH84" s="237"/>
      <c r="AI84" s="237"/>
      <c r="AJ84" s="239">
        <f t="shared" si="52"/>
        <v>1</v>
      </c>
      <c r="AK84" s="237">
        <v>0</v>
      </c>
      <c r="AL84" s="237">
        <v>0</v>
      </c>
      <c r="AM84" s="237">
        <v>0</v>
      </c>
      <c r="AN84" s="237">
        <v>1</v>
      </c>
      <c r="AO84" s="237"/>
      <c r="AP84" s="250">
        <v>830</v>
      </c>
      <c r="AQ84" s="334">
        <f t="shared" si="53"/>
        <v>0.77767441860465114</v>
      </c>
      <c r="AR84" s="207">
        <f>AC84/I84</f>
        <v>0</v>
      </c>
      <c r="AS84" s="209">
        <f>W84-'[1]1-9'!W83</f>
        <v>5.218</v>
      </c>
      <c r="AT84" s="196"/>
    </row>
    <row r="85" spans="1:46" hidden="1">
      <c r="A85" s="245">
        <v>12</v>
      </c>
      <c r="B85" s="246" t="s">
        <v>227</v>
      </c>
      <c r="C85" s="247">
        <f t="shared" si="45"/>
        <v>7.5</v>
      </c>
      <c r="D85" s="248"/>
      <c r="E85" s="248"/>
      <c r="F85" s="248">
        <v>3.6</v>
      </c>
      <c r="G85" s="248">
        <v>3.9</v>
      </c>
      <c r="H85" s="248"/>
      <c r="I85" s="249">
        <f t="shared" si="46"/>
        <v>7.3390000000000004</v>
      </c>
      <c r="J85" s="240">
        <f t="shared" si="47"/>
        <v>2.839</v>
      </c>
      <c r="K85" s="196">
        <v>2.839</v>
      </c>
      <c r="L85" s="196"/>
      <c r="M85" s="196"/>
      <c r="N85" s="196"/>
      <c r="O85" s="196"/>
      <c r="P85" s="240">
        <f t="shared" si="48"/>
        <v>4.5</v>
      </c>
      <c r="Q85" s="196">
        <v>1.625</v>
      </c>
      <c r="R85" s="196">
        <v>2.875</v>
      </c>
      <c r="S85" s="196"/>
      <c r="T85" s="196"/>
      <c r="U85" s="196"/>
      <c r="V85" s="238">
        <f t="shared" si="49"/>
        <v>1375.9346950000001</v>
      </c>
      <c r="W85" s="227">
        <f t="shared" si="50"/>
        <v>4.8717000000000006</v>
      </c>
      <c r="X85" s="237"/>
      <c r="Y85" s="237"/>
      <c r="Z85" s="237">
        <v>3.1</v>
      </c>
      <c r="AA85" s="237">
        <v>1.7717000000000001</v>
      </c>
      <c r="AB85" s="237"/>
      <c r="AC85" s="227">
        <v>5.0999999999999996</v>
      </c>
      <c r="AD85" s="239">
        <f t="shared" si="51"/>
        <v>3.2</v>
      </c>
      <c r="AE85" s="237">
        <v>3.2</v>
      </c>
      <c r="AF85" s="237">
        <v>0</v>
      </c>
      <c r="AG85" s="237">
        <v>0</v>
      </c>
      <c r="AH85" s="237">
        <v>0</v>
      </c>
      <c r="AI85" s="237"/>
      <c r="AJ85" s="239">
        <f t="shared" si="52"/>
        <v>1.9</v>
      </c>
      <c r="AK85" s="237"/>
      <c r="AL85" s="237">
        <v>1.9</v>
      </c>
      <c r="AM85" s="237"/>
      <c r="AN85" s="237"/>
      <c r="AO85" s="237"/>
      <c r="AP85" s="250">
        <v>936</v>
      </c>
      <c r="AQ85" s="334">
        <f t="shared" si="53"/>
        <v>0.64956000000000003</v>
      </c>
      <c r="AR85" s="207">
        <f>AC85/I85</f>
        <v>0.69491756370077662</v>
      </c>
      <c r="AS85" s="209">
        <f>W85-'[1]1-9'!W84</f>
        <v>2.9717000000000007</v>
      </c>
      <c r="AT85" s="196"/>
    </row>
    <row r="86" spans="1:46" hidden="1">
      <c r="A86" s="245">
        <v>13</v>
      </c>
      <c r="B86" s="246" t="s">
        <v>228</v>
      </c>
      <c r="C86" s="247">
        <f t="shared" si="45"/>
        <v>4.16</v>
      </c>
      <c r="D86" s="248"/>
      <c r="E86" s="248">
        <v>1.1300000000000001</v>
      </c>
      <c r="F86" s="248">
        <v>3.03</v>
      </c>
      <c r="G86" s="248"/>
      <c r="H86" s="248"/>
      <c r="I86" s="249">
        <f t="shared" si="46"/>
        <v>2</v>
      </c>
      <c r="J86" s="240">
        <f t="shared" si="47"/>
        <v>2</v>
      </c>
      <c r="K86" s="196"/>
      <c r="L86" s="196">
        <v>2</v>
      </c>
      <c r="M86" s="196"/>
      <c r="N86" s="196"/>
      <c r="O86" s="196"/>
      <c r="P86" s="240">
        <f t="shared" si="48"/>
        <v>0</v>
      </c>
      <c r="Q86" s="196"/>
      <c r="R86" s="196"/>
      <c r="S86" s="196"/>
      <c r="T86" s="196"/>
      <c r="U86" s="196"/>
      <c r="V86" s="238">
        <f t="shared" si="49"/>
        <v>677.3427999999999</v>
      </c>
      <c r="W86" s="227">
        <f t="shared" si="50"/>
        <v>5.41</v>
      </c>
      <c r="X86" s="237"/>
      <c r="Y86" s="237">
        <v>1.81</v>
      </c>
      <c r="Z86" s="237">
        <v>3.6</v>
      </c>
      <c r="AA86" s="237"/>
      <c r="AB86" s="237"/>
      <c r="AC86" s="227">
        <v>1.57</v>
      </c>
      <c r="AD86" s="239">
        <f t="shared" si="51"/>
        <v>1.4</v>
      </c>
      <c r="AE86" s="237">
        <v>0.4</v>
      </c>
      <c r="AF86" s="237">
        <v>1</v>
      </c>
      <c r="AG86" s="237">
        <v>0</v>
      </c>
      <c r="AH86" s="237">
        <v>0</v>
      </c>
      <c r="AI86" s="237"/>
      <c r="AJ86" s="239">
        <f t="shared" si="52"/>
        <v>0.6</v>
      </c>
      <c r="AK86" s="237">
        <v>0.6</v>
      </c>
      <c r="AL86" s="237"/>
      <c r="AM86" s="237"/>
      <c r="AN86" s="237"/>
      <c r="AO86" s="237"/>
      <c r="AP86" s="250">
        <v>930</v>
      </c>
      <c r="AQ86" s="334">
        <f t="shared" si="53"/>
        <v>1.3004807692307692</v>
      </c>
      <c r="AR86" s="207">
        <f>AC86/I86</f>
        <v>0.78500000000000003</v>
      </c>
      <c r="AS86" s="252">
        <f>W86-'[1]1-9'!W85</f>
        <v>4.04</v>
      </c>
      <c r="AT86" s="196"/>
    </row>
    <row r="87" spans="1:46" hidden="1">
      <c r="A87" s="245">
        <v>14</v>
      </c>
      <c r="B87" s="246" t="s">
        <v>229</v>
      </c>
      <c r="C87" s="247">
        <f t="shared" si="45"/>
        <v>6</v>
      </c>
      <c r="D87" s="248"/>
      <c r="E87" s="248"/>
      <c r="F87" s="248">
        <v>4</v>
      </c>
      <c r="G87" s="248">
        <v>2</v>
      </c>
      <c r="H87" s="248"/>
      <c r="I87" s="249">
        <f t="shared" si="46"/>
        <v>1</v>
      </c>
      <c r="J87" s="240">
        <f t="shared" si="47"/>
        <v>1</v>
      </c>
      <c r="K87" s="196">
        <v>1</v>
      </c>
      <c r="L87" s="196"/>
      <c r="M87" s="196"/>
      <c r="N87" s="196"/>
      <c r="O87" s="196"/>
      <c r="P87" s="240">
        <f t="shared" si="48"/>
        <v>0</v>
      </c>
      <c r="Q87" s="196"/>
      <c r="R87" s="196"/>
      <c r="S87" s="196"/>
      <c r="T87" s="196"/>
      <c r="U87" s="196"/>
      <c r="V87" s="238">
        <f t="shared" si="49"/>
        <v>756.57499999999993</v>
      </c>
      <c r="W87" s="227">
        <f t="shared" si="50"/>
        <v>12.8019</v>
      </c>
      <c r="X87" s="237">
        <v>1</v>
      </c>
      <c r="Y87" s="237">
        <v>0.24</v>
      </c>
      <c r="Z87" s="237">
        <v>9.5618999999999996</v>
      </c>
      <c r="AA87" s="237">
        <v>2</v>
      </c>
      <c r="AB87" s="237"/>
      <c r="AC87" s="227"/>
      <c r="AD87" s="239">
        <f t="shared" si="51"/>
        <v>0</v>
      </c>
      <c r="AE87" s="237">
        <v>0</v>
      </c>
      <c r="AF87" s="237">
        <v>0</v>
      </c>
      <c r="AG87" s="237">
        <v>0</v>
      </c>
      <c r="AH87" s="237">
        <v>0</v>
      </c>
      <c r="AI87" s="237"/>
      <c r="AJ87" s="239">
        <f t="shared" si="52"/>
        <v>0</v>
      </c>
      <c r="AK87" s="237"/>
      <c r="AL87" s="237"/>
      <c r="AM87" s="237"/>
      <c r="AN87" s="237"/>
      <c r="AO87" s="237"/>
      <c r="AP87" s="250">
        <v>1071.7</v>
      </c>
      <c r="AQ87" s="334">
        <f t="shared" si="53"/>
        <v>2.1336499999999998</v>
      </c>
      <c r="AR87" s="207">
        <f>AC87/I87</f>
        <v>0</v>
      </c>
      <c r="AS87" s="209">
        <f>W87-'[1]1-9'!W86</f>
        <v>4.5618999999999996</v>
      </c>
      <c r="AT87" s="196"/>
    </row>
    <row r="88" spans="1:46" hidden="1">
      <c r="A88" s="245">
        <v>15</v>
      </c>
      <c r="B88" s="246" t="s">
        <v>230</v>
      </c>
      <c r="C88" s="247">
        <f t="shared" si="45"/>
        <v>4.7770000000000001</v>
      </c>
      <c r="D88" s="248"/>
      <c r="E88" s="248">
        <v>1.5</v>
      </c>
      <c r="F88" s="248">
        <v>2.2269999999999999</v>
      </c>
      <c r="G88" s="248">
        <v>1.05</v>
      </c>
      <c r="H88" s="248"/>
      <c r="I88" s="249">
        <f t="shared" si="46"/>
        <v>0</v>
      </c>
      <c r="J88" s="240">
        <f t="shared" si="47"/>
        <v>0</v>
      </c>
      <c r="K88" s="196"/>
      <c r="L88" s="196"/>
      <c r="M88" s="196"/>
      <c r="N88" s="196"/>
      <c r="O88" s="196"/>
      <c r="P88" s="240">
        <f t="shared" si="48"/>
        <v>0</v>
      </c>
      <c r="Q88" s="196"/>
      <c r="R88" s="196"/>
      <c r="S88" s="196"/>
      <c r="T88" s="196"/>
      <c r="U88" s="196"/>
      <c r="V88" s="238">
        <f t="shared" si="49"/>
        <v>625.66643999999997</v>
      </c>
      <c r="W88" s="227">
        <f t="shared" si="50"/>
        <v>2.1579999999999999</v>
      </c>
      <c r="X88" s="237"/>
      <c r="Y88" s="237">
        <v>0.30499999999999999</v>
      </c>
      <c r="Z88" s="237">
        <v>1.853</v>
      </c>
      <c r="AA88" s="237"/>
      <c r="AB88" s="237"/>
      <c r="AC88" s="227">
        <v>0.77</v>
      </c>
      <c r="AD88" s="239">
        <f t="shared" si="51"/>
        <v>0</v>
      </c>
      <c r="AE88" s="237"/>
      <c r="AF88" s="237"/>
      <c r="AG88" s="237"/>
      <c r="AH88" s="237"/>
      <c r="AI88" s="237"/>
      <c r="AJ88" s="239">
        <f t="shared" si="52"/>
        <v>1.6</v>
      </c>
      <c r="AK88" s="237"/>
      <c r="AL88" s="237"/>
      <c r="AM88" s="237">
        <v>1.6</v>
      </c>
      <c r="AN88" s="237"/>
      <c r="AO88" s="237"/>
      <c r="AP88" s="250">
        <v>298.7</v>
      </c>
      <c r="AQ88" s="334">
        <f t="shared" si="53"/>
        <v>0.45174795897006487</v>
      </c>
      <c r="AR88" s="207"/>
      <c r="AS88" s="209">
        <f>W88-'[1]1-9'!W87</f>
        <v>2.1579999999999999</v>
      </c>
      <c r="AT88" s="196"/>
    </row>
    <row r="89" spans="1:46" hidden="1">
      <c r="A89" s="245">
        <v>16</v>
      </c>
      <c r="B89" s="246" t="s">
        <v>231</v>
      </c>
      <c r="C89" s="247">
        <f t="shared" si="45"/>
        <v>6.242</v>
      </c>
      <c r="D89" s="248"/>
      <c r="E89" s="248">
        <v>1.3739999999999999</v>
      </c>
      <c r="F89" s="248">
        <v>1.778</v>
      </c>
      <c r="G89" s="248">
        <v>2.79</v>
      </c>
      <c r="H89" s="248">
        <v>0.3</v>
      </c>
      <c r="I89" s="249">
        <f t="shared" si="46"/>
        <v>0</v>
      </c>
      <c r="J89" s="240">
        <f t="shared" si="47"/>
        <v>0</v>
      </c>
      <c r="K89" s="196"/>
      <c r="L89" s="196"/>
      <c r="M89" s="196"/>
      <c r="N89" s="196"/>
      <c r="O89" s="196"/>
      <c r="P89" s="240">
        <f t="shared" si="48"/>
        <v>0</v>
      </c>
      <c r="Q89" s="196"/>
      <c r="R89" s="196"/>
      <c r="S89" s="196"/>
      <c r="T89" s="196"/>
      <c r="U89" s="196"/>
      <c r="V89" s="238">
        <f t="shared" si="49"/>
        <v>786.39792</v>
      </c>
      <c r="W89" s="227">
        <f t="shared" si="50"/>
        <v>11.603999999999999</v>
      </c>
      <c r="X89" s="237"/>
      <c r="Y89" s="237">
        <v>0.70700000000000007</v>
      </c>
      <c r="Z89" s="237">
        <v>4.375</v>
      </c>
      <c r="AA89" s="237">
        <v>6.5220000000000002</v>
      </c>
      <c r="AB89" s="237"/>
      <c r="AC89" s="227"/>
      <c r="AD89" s="239">
        <f t="shared" si="51"/>
        <v>0</v>
      </c>
      <c r="AE89" s="237"/>
      <c r="AF89" s="237"/>
      <c r="AG89" s="237"/>
      <c r="AH89" s="237"/>
      <c r="AI89" s="237"/>
      <c r="AJ89" s="239">
        <f t="shared" si="52"/>
        <v>0</v>
      </c>
      <c r="AK89" s="237"/>
      <c r="AL89" s="237"/>
      <c r="AM89" s="237"/>
      <c r="AN89" s="237"/>
      <c r="AO89" s="237"/>
      <c r="AP89" s="250">
        <v>1333</v>
      </c>
      <c r="AQ89" s="334">
        <f t="shared" si="53"/>
        <v>1.8590195450176223</v>
      </c>
      <c r="AR89" s="207"/>
      <c r="AS89" s="252">
        <f>W89-'[1]1-9'!W88</f>
        <v>5.1039999999999992</v>
      </c>
      <c r="AT89" s="196"/>
    </row>
    <row r="90" spans="1:46" hidden="1">
      <c r="A90" s="245">
        <v>17</v>
      </c>
      <c r="B90" s="246" t="s">
        <v>232</v>
      </c>
      <c r="C90" s="247">
        <f t="shared" si="45"/>
        <v>5.3680000000000003</v>
      </c>
      <c r="D90" s="248"/>
      <c r="E90" s="248">
        <v>0.5</v>
      </c>
      <c r="F90" s="248">
        <v>4.8680000000000003</v>
      </c>
      <c r="G90" s="248"/>
      <c r="H90" s="248"/>
      <c r="I90" s="249">
        <f t="shared" si="46"/>
        <v>1.85</v>
      </c>
      <c r="J90" s="240">
        <f t="shared" si="47"/>
        <v>0</v>
      </c>
      <c r="K90" s="196"/>
      <c r="L90" s="196"/>
      <c r="M90" s="196"/>
      <c r="N90" s="196"/>
      <c r="O90" s="196"/>
      <c r="P90" s="240">
        <f t="shared" si="48"/>
        <v>1.85</v>
      </c>
      <c r="Q90" s="196"/>
      <c r="R90" s="196">
        <v>1.45</v>
      </c>
      <c r="S90" s="196"/>
      <c r="T90" s="196">
        <v>0.4</v>
      </c>
      <c r="U90" s="196"/>
      <c r="V90" s="238">
        <f t="shared" si="49"/>
        <v>738.90915999999993</v>
      </c>
      <c r="W90" s="227">
        <f t="shared" si="50"/>
        <v>7.5919999999999996</v>
      </c>
      <c r="X90" s="237"/>
      <c r="Y90" s="237">
        <v>0.34</v>
      </c>
      <c r="Z90" s="237">
        <v>7.2519999999999998</v>
      </c>
      <c r="AA90" s="237"/>
      <c r="AB90" s="237"/>
      <c r="AC90" s="227">
        <v>1.5649999999999999</v>
      </c>
      <c r="AD90" s="239">
        <f t="shared" si="51"/>
        <v>0</v>
      </c>
      <c r="AE90" s="237"/>
      <c r="AF90" s="237"/>
      <c r="AG90" s="237"/>
      <c r="AH90" s="237"/>
      <c r="AI90" s="237"/>
      <c r="AJ90" s="239">
        <f t="shared" si="52"/>
        <v>1.02</v>
      </c>
      <c r="AK90" s="237">
        <v>0</v>
      </c>
      <c r="AL90" s="237">
        <v>0</v>
      </c>
      <c r="AM90" s="237">
        <v>0</v>
      </c>
      <c r="AN90" s="237">
        <v>1.02</v>
      </c>
      <c r="AO90" s="237"/>
      <c r="AP90" s="250">
        <v>971.8</v>
      </c>
      <c r="AQ90" s="334">
        <f t="shared" si="53"/>
        <v>1.4143070044709387</v>
      </c>
      <c r="AR90" s="207">
        <f>AC90/I90</f>
        <v>0.84594594594594585</v>
      </c>
      <c r="AS90" s="209">
        <f>W90-'[1]1-9'!W89</f>
        <v>2.7519999999999998</v>
      </c>
      <c r="AT90" s="196"/>
    </row>
    <row r="91" spans="1:46" hidden="1">
      <c r="A91" s="245">
        <v>18</v>
      </c>
      <c r="B91" s="253" t="s">
        <v>233</v>
      </c>
      <c r="C91" s="247">
        <f t="shared" si="45"/>
        <v>5.9749999999999996</v>
      </c>
      <c r="D91" s="248"/>
      <c r="E91" s="248">
        <v>1.2829999999999999</v>
      </c>
      <c r="F91" s="248">
        <v>2.302</v>
      </c>
      <c r="G91" s="248">
        <v>2.39</v>
      </c>
      <c r="H91" s="248"/>
      <c r="I91" s="249">
        <f t="shared" si="46"/>
        <v>0.9</v>
      </c>
      <c r="J91" s="240">
        <f t="shared" si="47"/>
        <v>0</v>
      </c>
      <c r="K91" s="196"/>
      <c r="L91" s="196"/>
      <c r="M91" s="196"/>
      <c r="N91" s="196"/>
      <c r="O91" s="196"/>
      <c r="P91" s="240">
        <f t="shared" si="48"/>
        <v>0.9</v>
      </c>
      <c r="Q91" s="196"/>
      <c r="R91" s="196">
        <v>0.9</v>
      </c>
      <c r="S91" s="196"/>
      <c r="T91" s="196"/>
      <c r="U91" s="196"/>
      <c r="V91" s="238">
        <f t="shared" si="49"/>
        <v>801.01055999999994</v>
      </c>
      <c r="W91" s="227">
        <f t="shared" si="50"/>
        <v>2.5344000000000002</v>
      </c>
      <c r="X91" s="237"/>
      <c r="Y91" s="237">
        <v>0.65</v>
      </c>
      <c r="Z91" s="237">
        <v>1.5344</v>
      </c>
      <c r="AA91" s="237">
        <v>0.35</v>
      </c>
      <c r="AB91" s="237"/>
      <c r="AC91" s="227"/>
      <c r="AD91" s="239">
        <f t="shared" si="51"/>
        <v>0</v>
      </c>
      <c r="AE91" s="237"/>
      <c r="AF91" s="237"/>
      <c r="AG91" s="237"/>
      <c r="AH91" s="237"/>
      <c r="AI91" s="237"/>
      <c r="AJ91" s="239">
        <f t="shared" si="52"/>
        <v>0</v>
      </c>
      <c r="AK91" s="237">
        <v>0</v>
      </c>
      <c r="AL91" s="237">
        <v>0</v>
      </c>
      <c r="AM91" s="237">
        <v>0</v>
      </c>
      <c r="AN91" s="237">
        <v>0</v>
      </c>
      <c r="AO91" s="237"/>
      <c r="AP91" s="250">
        <v>323</v>
      </c>
      <c r="AQ91" s="334">
        <f t="shared" si="53"/>
        <v>0.42416736401673644</v>
      </c>
      <c r="AR91" s="207">
        <f>AC91/I91</f>
        <v>0</v>
      </c>
      <c r="AS91" s="209">
        <f>W91-'[1]1-9'!W90</f>
        <v>2.5344000000000002</v>
      </c>
      <c r="AT91" s="196"/>
    </row>
    <row r="92" spans="1:46" hidden="1">
      <c r="A92" s="245">
        <v>19</v>
      </c>
      <c r="B92" s="246" t="s">
        <v>234</v>
      </c>
      <c r="C92" s="247">
        <f t="shared" si="45"/>
        <v>1.9050000000000002</v>
      </c>
      <c r="D92" s="248"/>
      <c r="E92" s="248"/>
      <c r="F92" s="248">
        <v>1.3050000000000002</v>
      </c>
      <c r="G92" s="248">
        <v>0.6</v>
      </c>
      <c r="H92" s="248"/>
      <c r="I92" s="249">
        <f t="shared" si="46"/>
        <v>0</v>
      </c>
      <c r="J92" s="240">
        <f t="shared" si="47"/>
        <v>0</v>
      </c>
      <c r="K92" s="196"/>
      <c r="L92" s="196"/>
      <c r="M92" s="196"/>
      <c r="N92" s="196"/>
      <c r="O92" s="196"/>
      <c r="P92" s="240">
        <f t="shared" si="48"/>
        <v>0</v>
      </c>
      <c r="Q92" s="196"/>
      <c r="R92" s="196"/>
      <c r="S92" s="196"/>
      <c r="T92" s="196"/>
      <c r="U92" s="196"/>
      <c r="V92" s="238">
        <f t="shared" si="49"/>
        <v>212.82659999999998</v>
      </c>
      <c r="W92" s="227">
        <f t="shared" si="50"/>
        <v>3.4323999999999999</v>
      </c>
      <c r="X92" s="237"/>
      <c r="Y92" s="237"/>
      <c r="Z92" s="237">
        <v>2.57</v>
      </c>
      <c r="AA92" s="237">
        <v>0.86240000000000006</v>
      </c>
      <c r="AB92" s="237"/>
      <c r="AC92" s="227">
        <v>1.7</v>
      </c>
      <c r="AD92" s="239">
        <f t="shared" si="51"/>
        <v>0</v>
      </c>
      <c r="AE92" s="237"/>
      <c r="AF92" s="237"/>
      <c r="AG92" s="237"/>
      <c r="AH92" s="237"/>
      <c r="AI92" s="237"/>
      <c r="AJ92" s="239">
        <f t="shared" si="52"/>
        <v>1.7</v>
      </c>
      <c r="AK92" s="237"/>
      <c r="AL92" s="237">
        <v>1.7</v>
      </c>
      <c r="AM92" s="237"/>
      <c r="AN92" s="237"/>
      <c r="AO92" s="237"/>
      <c r="AP92" s="250">
        <v>296.5</v>
      </c>
      <c r="AQ92" s="334">
        <f t="shared" si="53"/>
        <v>1.8017847769028867</v>
      </c>
      <c r="AR92" s="207"/>
      <c r="AS92" s="209">
        <f>W92-'[1]1-9'!W91</f>
        <v>3.4323999999999999</v>
      </c>
      <c r="AT92" s="196"/>
    </row>
    <row r="93" spans="1:46" hidden="1">
      <c r="A93" s="245">
        <v>20</v>
      </c>
      <c r="B93" s="246" t="s">
        <v>235</v>
      </c>
      <c r="C93" s="247">
        <f t="shared" si="45"/>
        <v>6.508</v>
      </c>
      <c r="D93" s="248"/>
      <c r="E93" s="248">
        <v>0.2</v>
      </c>
      <c r="F93" s="248">
        <v>4.2409999999999997</v>
      </c>
      <c r="G93" s="248">
        <v>2.0670000000000002</v>
      </c>
      <c r="H93" s="248"/>
      <c r="I93" s="249">
        <f t="shared" si="46"/>
        <v>0</v>
      </c>
      <c r="J93" s="240">
        <f t="shared" si="47"/>
        <v>0</v>
      </c>
      <c r="K93" s="196"/>
      <c r="L93" s="196"/>
      <c r="M93" s="196"/>
      <c r="N93" s="196"/>
      <c r="O93" s="196"/>
      <c r="P93" s="240">
        <f t="shared" si="48"/>
        <v>0</v>
      </c>
      <c r="Q93" s="196"/>
      <c r="R93" s="196"/>
      <c r="S93" s="196"/>
      <c r="T93" s="196"/>
      <c r="U93" s="196"/>
      <c r="V93" s="238">
        <f t="shared" si="49"/>
        <v>739.33776</v>
      </c>
      <c r="W93" s="227">
        <f t="shared" si="50"/>
        <v>5.6532999999999998</v>
      </c>
      <c r="X93" s="237"/>
      <c r="Y93" s="237">
        <v>1.335</v>
      </c>
      <c r="Z93" s="237">
        <v>4.2</v>
      </c>
      <c r="AA93" s="237">
        <v>0.1183</v>
      </c>
      <c r="AB93" s="237"/>
      <c r="AC93" s="227">
        <v>3.46</v>
      </c>
      <c r="AD93" s="239">
        <f t="shared" si="51"/>
        <v>2.5920000000000001</v>
      </c>
      <c r="AE93" s="237"/>
      <c r="AF93" s="237">
        <v>2.5920000000000001</v>
      </c>
      <c r="AG93" s="237"/>
      <c r="AH93" s="237"/>
      <c r="AI93" s="237"/>
      <c r="AJ93" s="239">
        <f t="shared" si="52"/>
        <v>0.86599999999999999</v>
      </c>
      <c r="AK93" s="237"/>
      <c r="AL93" s="237">
        <v>0.86599999999999999</v>
      </c>
      <c r="AM93" s="237"/>
      <c r="AN93" s="237"/>
      <c r="AO93" s="237"/>
      <c r="AP93" s="250">
        <v>720.09999999999991</v>
      </c>
      <c r="AQ93" s="334">
        <f t="shared" si="53"/>
        <v>0.86866933005531655</v>
      </c>
      <c r="AR93" s="207"/>
      <c r="AS93" s="209">
        <f>W93-'[1]1-9'!W92</f>
        <v>2.1032999999999995</v>
      </c>
      <c r="AT93" s="196"/>
    </row>
    <row r="94" spans="1:46" hidden="1">
      <c r="A94" s="245">
        <v>21</v>
      </c>
      <c r="B94" s="246" t="s">
        <v>236</v>
      </c>
      <c r="C94" s="247">
        <f t="shared" si="45"/>
        <v>0.63</v>
      </c>
      <c r="D94" s="248"/>
      <c r="E94" s="248"/>
      <c r="F94" s="248">
        <v>0.63</v>
      </c>
      <c r="G94" s="248"/>
      <c r="H94" s="248"/>
      <c r="I94" s="249">
        <f t="shared" si="46"/>
        <v>10</v>
      </c>
      <c r="J94" s="240">
        <f t="shared" si="47"/>
        <v>0</v>
      </c>
      <c r="K94" s="196"/>
      <c r="L94" s="196"/>
      <c r="M94" s="196"/>
      <c r="N94" s="196"/>
      <c r="O94" s="196"/>
      <c r="P94" s="240">
        <f t="shared" si="48"/>
        <v>10</v>
      </c>
      <c r="Q94" s="196"/>
      <c r="R94" s="196">
        <v>10</v>
      </c>
      <c r="S94" s="196"/>
      <c r="T94" s="196"/>
      <c r="U94" s="196"/>
      <c r="V94" s="238">
        <f t="shared" si="49"/>
        <v>679.3836</v>
      </c>
      <c r="W94" s="227">
        <f t="shared" si="50"/>
        <v>0.63</v>
      </c>
      <c r="X94" s="237"/>
      <c r="Y94" s="237"/>
      <c r="Z94" s="237">
        <v>0.63</v>
      </c>
      <c r="AA94" s="237"/>
      <c r="AB94" s="237"/>
      <c r="AC94" s="227">
        <v>2.4</v>
      </c>
      <c r="AD94" s="239">
        <f t="shared" si="51"/>
        <v>0</v>
      </c>
      <c r="AE94" s="237"/>
      <c r="AF94" s="237"/>
      <c r="AG94" s="237"/>
      <c r="AH94" s="237"/>
      <c r="AI94" s="237"/>
      <c r="AJ94" s="239">
        <f t="shared" si="52"/>
        <v>2.4</v>
      </c>
      <c r="AK94" s="237">
        <v>0</v>
      </c>
      <c r="AL94" s="237">
        <v>2.4</v>
      </c>
      <c r="AM94" s="237">
        <v>0</v>
      </c>
      <c r="AN94" s="237">
        <v>0</v>
      </c>
      <c r="AO94" s="237"/>
      <c r="AP94" s="250">
        <v>218</v>
      </c>
      <c r="AQ94" s="334">
        <f t="shared" si="53"/>
        <v>1</v>
      </c>
      <c r="AR94" s="207">
        <f>AC94/I94</f>
        <v>0.24</v>
      </c>
      <c r="AS94" s="209">
        <f>W94-'[1]1-9'!W93</f>
        <v>0.63</v>
      </c>
      <c r="AT94" s="196"/>
    </row>
    <row r="95" spans="1:46" hidden="1">
      <c r="A95" s="245">
        <v>22</v>
      </c>
      <c r="B95" s="246" t="s">
        <v>237</v>
      </c>
      <c r="C95" s="247">
        <f t="shared" si="45"/>
        <v>4.5599999999999996</v>
      </c>
      <c r="D95" s="248">
        <v>0.7</v>
      </c>
      <c r="E95" s="248"/>
      <c r="F95" s="248">
        <v>2.36</v>
      </c>
      <c r="G95" s="248">
        <v>1.5</v>
      </c>
      <c r="H95" s="248"/>
      <c r="I95" s="249">
        <f t="shared" si="46"/>
        <v>5.9</v>
      </c>
      <c r="J95" s="240">
        <f t="shared" si="47"/>
        <v>2</v>
      </c>
      <c r="K95" s="196">
        <v>1.4</v>
      </c>
      <c r="L95" s="196">
        <v>0.6</v>
      </c>
      <c r="M95" s="196"/>
      <c r="N95" s="196"/>
      <c r="O95" s="196"/>
      <c r="P95" s="240">
        <f t="shared" si="48"/>
        <v>3.9</v>
      </c>
      <c r="Q95" s="196">
        <v>3.9</v>
      </c>
      <c r="R95" s="196"/>
      <c r="S95" s="196"/>
      <c r="T95" s="196"/>
      <c r="U95" s="196"/>
      <c r="V95" s="238">
        <f t="shared" si="49"/>
        <v>1014.6201999999998</v>
      </c>
      <c r="W95" s="227">
        <f t="shared" si="50"/>
        <v>4.5449000000000002</v>
      </c>
      <c r="X95" s="237">
        <v>0.308</v>
      </c>
      <c r="Y95" s="237"/>
      <c r="Z95" s="237">
        <v>3.2269000000000001</v>
      </c>
      <c r="AA95" s="237">
        <v>1.01</v>
      </c>
      <c r="AB95" s="237"/>
      <c r="AC95" s="227">
        <v>0.52</v>
      </c>
      <c r="AD95" s="239">
        <f t="shared" si="51"/>
        <v>0.64999999999999991</v>
      </c>
      <c r="AE95" s="237">
        <v>0</v>
      </c>
      <c r="AF95" s="237">
        <v>0.64999999999999991</v>
      </c>
      <c r="AG95" s="237">
        <v>0</v>
      </c>
      <c r="AH95" s="237">
        <v>0</v>
      </c>
      <c r="AI95" s="237"/>
      <c r="AJ95" s="239">
        <f t="shared" si="52"/>
        <v>1.25</v>
      </c>
      <c r="AK95" s="237">
        <v>1.25</v>
      </c>
      <c r="AL95" s="237">
        <v>0</v>
      </c>
      <c r="AM95" s="237">
        <v>0</v>
      </c>
      <c r="AN95" s="237">
        <v>0</v>
      </c>
      <c r="AO95" s="237"/>
      <c r="AP95" s="250">
        <v>795</v>
      </c>
      <c r="AQ95" s="334">
        <f t="shared" si="53"/>
        <v>0.99668859649122821</v>
      </c>
      <c r="AR95" s="207">
        <f>AC95/I95</f>
        <v>8.8135593220338981E-2</v>
      </c>
      <c r="AS95" s="252">
        <f>W95-'[1]1-9'!W94</f>
        <v>3.1829000000000001</v>
      </c>
      <c r="AT95" s="196"/>
    </row>
    <row r="96" spans="1:46" hidden="1">
      <c r="A96" s="245">
        <v>23</v>
      </c>
      <c r="B96" s="246" t="s">
        <v>238</v>
      </c>
      <c r="C96" s="247">
        <f t="shared" si="45"/>
        <v>1.5999999999999999</v>
      </c>
      <c r="D96" s="248"/>
      <c r="E96" s="248">
        <v>0.52</v>
      </c>
      <c r="F96" s="248">
        <v>0.88</v>
      </c>
      <c r="G96" s="248">
        <v>0.2</v>
      </c>
      <c r="H96" s="248"/>
      <c r="I96" s="249">
        <f t="shared" si="46"/>
        <v>0</v>
      </c>
      <c r="J96" s="240">
        <f t="shared" si="47"/>
        <v>0</v>
      </c>
      <c r="K96" s="196"/>
      <c r="L96" s="196"/>
      <c r="M96" s="196"/>
      <c r="N96" s="196"/>
      <c r="O96" s="196"/>
      <c r="P96" s="240">
        <f t="shared" si="48"/>
        <v>0</v>
      </c>
      <c r="Q96" s="196"/>
      <c r="R96" s="196"/>
      <c r="S96" s="196"/>
      <c r="T96" s="196"/>
      <c r="U96" s="196"/>
      <c r="V96" s="238">
        <f t="shared" si="49"/>
        <v>210.63839999999999</v>
      </c>
      <c r="W96" s="227">
        <f t="shared" si="50"/>
        <v>2.2119999999999997</v>
      </c>
      <c r="X96" s="237"/>
      <c r="Y96" s="237">
        <v>0.52</v>
      </c>
      <c r="Z96" s="237">
        <v>1.3149999999999999</v>
      </c>
      <c r="AA96" s="237">
        <v>0.377</v>
      </c>
      <c r="AB96" s="237"/>
      <c r="AC96" s="227"/>
      <c r="AD96" s="239">
        <f t="shared" si="51"/>
        <v>0</v>
      </c>
      <c r="AE96" s="237"/>
      <c r="AF96" s="237"/>
      <c r="AG96" s="237"/>
      <c r="AH96" s="237"/>
      <c r="AI96" s="237"/>
      <c r="AJ96" s="239">
        <f t="shared" si="52"/>
        <v>0</v>
      </c>
      <c r="AK96" s="237"/>
      <c r="AL96" s="237"/>
      <c r="AM96" s="237"/>
      <c r="AN96" s="237"/>
      <c r="AO96" s="237"/>
      <c r="AP96" s="250">
        <v>279</v>
      </c>
      <c r="AQ96" s="334">
        <f t="shared" si="53"/>
        <v>1.3825000000000001</v>
      </c>
      <c r="AR96" s="207"/>
      <c r="AS96" s="209">
        <f>W96-'[1]1-9'!W95</f>
        <v>2.2119999999999997</v>
      </c>
      <c r="AT96" s="196"/>
    </row>
    <row r="97" spans="1:46" hidden="1">
      <c r="A97" s="245">
        <v>24</v>
      </c>
      <c r="B97" s="253" t="s">
        <v>239</v>
      </c>
      <c r="C97" s="247">
        <f t="shared" si="45"/>
        <v>6.4739999999999993</v>
      </c>
      <c r="D97" s="248"/>
      <c r="E97" s="248">
        <v>4.6959999999999997</v>
      </c>
      <c r="F97" s="248">
        <v>1.238</v>
      </c>
      <c r="G97" s="248">
        <v>0.54</v>
      </c>
      <c r="H97" s="248"/>
      <c r="I97" s="249">
        <f t="shared" si="46"/>
        <v>0</v>
      </c>
      <c r="J97" s="240">
        <f t="shared" si="47"/>
        <v>0</v>
      </c>
      <c r="K97" s="196"/>
      <c r="L97" s="196"/>
      <c r="M97" s="196"/>
      <c r="N97" s="196"/>
      <c r="O97" s="196"/>
      <c r="P97" s="240">
        <f t="shared" si="48"/>
        <v>0</v>
      </c>
      <c r="Q97" s="196"/>
      <c r="R97" s="196"/>
      <c r="S97" s="196"/>
      <c r="T97" s="196"/>
      <c r="U97" s="196"/>
      <c r="V97" s="238">
        <f t="shared" si="49"/>
        <v>1011.2339999999999</v>
      </c>
      <c r="W97" s="227">
        <f t="shared" si="50"/>
        <v>5.274</v>
      </c>
      <c r="X97" s="237">
        <v>0.125</v>
      </c>
      <c r="Y97" s="237">
        <v>3.65</v>
      </c>
      <c r="Z97" s="237">
        <v>1.2989999999999999</v>
      </c>
      <c r="AA97" s="237">
        <v>0.2</v>
      </c>
      <c r="AB97" s="237"/>
      <c r="AC97" s="227"/>
      <c r="AD97" s="239">
        <f t="shared" si="51"/>
        <v>0</v>
      </c>
      <c r="AE97" s="237"/>
      <c r="AF97" s="237"/>
      <c r="AG97" s="237"/>
      <c r="AH97" s="237"/>
      <c r="AI97" s="237"/>
      <c r="AJ97" s="239">
        <f t="shared" si="52"/>
        <v>0</v>
      </c>
      <c r="AK97" s="237"/>
      <c r="AL97" s="237"/>
      <c r="AM97" s="237"/>
      <c r="AN97" s="237"/>
      <c r="AO97" s="237"/>
      <c r="AP97" s="250">
        <v>823.4</v>
      </c>
      <c r="AQ97" s="334">
        <f t="shared" si="53"/>
        <v>0.81464318813716408</v>
      </c>
      <c r="AR97" s="207"/>
      <c r="AS97" s="209">
        <f>W97-'[1]1-9'!W96</f>
        <v>-0.17599999999999927</v>
      </c>
      <c r="AT97" s="196"/>
    </row>
    <row r="98" spans="1:46" hidden="1">
      <c r="A98" s="245">
        <v>25</v>
      </c>
      <c r="B98" s="246" t="s">
        <v>240</v>
      </c>
      <c r="C98" s="247">
        <f t="shared" si="45"/>
        <v>4.7850000000000001</v>
      </c>
      <c r="D98" s="248"/>
      <c r="E98" s="248">
        <v>0.66</v>
      </c>
      <c r="F98" s="248">
        <v>2.3250000000000002</v>
      </c>
      <c r="G98" s="248">
        <v>1.7999999999999998</v>
      </c>
      <c r="H98" s="248"/>
      <c r="I98" s="249">
        <f t="shared" si="46"/>
        <v>0</v>
      </c>
      <c r="J98" s="240">
        <f t="shared" si="47"/>
        <v>0</v>
      </c>
      <c r="K98" s="196"/>
      <c r="L98" s="196"/>
      <c r="M98" s="196"/>
      <c r="N98" s="196"/>
      <c r="O98" s="196"/>
      <c r="P98" s="240">
        <f t="shared" si="48"/>
        <v>0</v>
      </c>
      <c r="Q98" s="196"/>
      <c r="R98" s="196"/>
      <c r="S98" s="196"/>
      <c r="T98" s="196"/>
      <c r="U98" s="196"/>
      <c r="V98" s="238">
        <f t="shared" si="49"/>
        <v>575.05140000000006</v>
      </c>
      <c r="W98" s="227">
        <f t="shared" si="50"/>
        <v>1.9344999999999999</v>
      </c>
      <c r="X98" s="237"/>
      <c r="Y98" s="237">
        <v>0.05</v>
      </c>
      <c r="Z98" s="237">
        <v>1.5265</v>
      </c>
      <c r="AA98" s="237">
        <v>0.35799999999999998</v>
      </c>
      <c r="AB98" s="237"/>
      <c r="AC98" s="227">
        <v>0.65</v>
      </c>
      <c r="AD98" s="239">
        <f t="shared" si="51"/>
        <v>0</v>
      </c>
      <c r="AE98" s="237"/>
      <c r="AF98" s="237"/>
      <c r="AG98" s="237"/>
      <c r="AH98" s="237"/>
      <c r="AI98" s="237"/>
      <c r="AJ98" s="239">
        <f t="shared" si="52"/>
        <v>0.53999999999999992</v>
      </c>
      <c r="AK98" s="237">
        <v>0.1</v>
      </c>
      <c r="AL98" s="237">
        <v>0.43999999999999995</v>
      </c>
      <c r="AM98" s="237"/>
      <c r="AN98" s="237"/>
      <c r="AO98" s="237"/>
      <c r="AP98" s="250">
        <v>267.3</v>
      </c>
      <c r="AQ98" s="334">
        <f t="shared" si="53"/>
        <v>0.40428422152560078</v>
      </c>
      <c r="AR98" s="207"/>
      <c r="AS98" s="209">
        <f>W98-'[1]1-9'!W97</f>
        <v>0.88449999999999984</v>
      </c>
      <c r="AT98" s="196"/>
    </row>
    <row r="99" spans="1:46" hidden="1">
      <c r="A99" s="177" t="s">
        <v>26</v>
      </c>
      <c r="B99" s="178" t="s">
        <v>241</v>
      </c>
      <c r="C99" s="196"/>
      <c r="D99" s="196"/>
      <c r="E99" s="196"/>
      <c r="F99" s="196"/>
      <c r="G99" s="196"/>
      <c r="H99" s="196"/>
      <c r="I99" s="241"/>
      <c r="J99" s="240"/>
      <c r="K99" s="196"/>
      <c r="L99" s="196"/>
      <c r="M99" s="196"/>
      <c r="N99" s="196"/>
      <c r="O99" s="196"/>
      <c r="P99" s="240"/>
      <c r="Q99" s="196"/>
      <c r="R99" s="196"/>
      <c r="S99" s="196"/>
      <c r="T99" s="196"/>
      <c r="U99" s="196"/>
      <c r="V99" s="238"/>
      <c r="W99" s="196"/>
      <c r="X99" s="196"/>
      <c r="Y99" s="196"/>
      <c r="Z99" s="196"/>
      <c r="AA99" s="196"/>
      <c r="AB99" s="196"/>
      <c r="AC99" s="196"/>
      <c r="AD99" s="196"/>
      <c r="AE99" s="196"/>
      <c r="AF99" s="196"/>
      <c r="AG99" s="196"/>
      <c r="AH99" s="196"/>
      <c r="AI99" s="196"/>
      <c r="AJ99" s="196"/>
      <c r="AK99" s="196"/>
      <c r="AL99" s="196"/>
      <c r="AM99" s="196"/>
      <c r="AN99" s="196"/>
      <c r="AO99" s="196"/>
      <c r="AP99" s="250"/>
      <c r="AQ99" s="334"/>
      <c r="AR99" s="207"/>
      <c r="AS99" s="209"/>
      <c r="AT99" s="196"/>
    </row>
    <row r="100" spans="1:46" hidden="1">
      <c r="A100" s="245">
        <v>1</v>
      </c>
      <c r="B100" s="246" t="s">
        <v>242</v>
      </c>
      <c r="C100" s="214">
        <f>D100+E100+F100+G100</f>
        <v>5.5</v>
      </c>
      <c r="D100" s="254"/>
      <c r="E100" s="245">
        <f>4.6+0.4</f>
        <v>5</v>
      </c>
      <c r="F100" s="245">
        <v>0.5</v>
      </c>
      <c r="G100" s="254"/>
      <c r="H100" s="196"/>
      <c r="I100" s="249">
        <f>J100+P100</f>
        <v>3.9</v>
      </c>
      <c r="J100" s="240">
        <f>SUM(K100:O100)</f>
        <v>0.4</v>
      </c>
      <c r="K100" s="196"/>
      <c r="L100" s="196"/>
      <c r="M100" s="196">
        <v>0.4</v>
      </c>
      <c r="N100" s="196"/>
      <c r="O100" s="196"/>
      <c r="P100" s="240">
        <f>SUM(Q100:U100)</f>
        <v>3.5</v>
      </c>
      <c r="Q100" s="196"/>
      <c r="R100" s="196"/>
      <c r="S100" s="196">
        <v>0.6</v>
      </c>
      <c r="T100" s="196">
        <v>2.9</v>
      </c>
      <c r="U100" s="196"/>
      <c r="V100" s="238">
        <f>D100*194.67+E100*173.04+F100*111.72+G100*111.72+H100*127.68+K100*86.255+L100*71.648+M100*84.489+N100*58.258+O100*53.065+Q100*72.658+R100*60.9+S100*74.716+T100*50.578+U100*46.62</f>
        <v>1146.3614</v>
      </c>
      <c r="W100" s="227">
        <f>SUM(X100:AB100)</f>
        <v>3.83</v>
      </c>
      <c r="X100" s="237"/>
      <c r="Y100" s="237">
        <v>3.7</v>
      </c>
      <c r="Z100" s="237">
        <v>0.13</v>
      </c>
      <c r="AA100" s="237"/>
      <c r="AB100" s="237"/>
      <c r="AC100" s="227">
        <v>1.1499999999999999</v>
      </c>
      <c r="AD100" s="239">
        <f>SUM(AE100:AI100)</f>
        <v>0</v>
      </c>
      <c r="AE100" s="237">
        <v>0</v>
      </c>
      <c r="AF100" s="237">
        <v>0</v>
      </c>
      <c r="AG100" s="237">
        <v>0</v>
      </c>
      <c r="AH100" s="237">
        <v>0</v>
      </c>
      <c r="AI100" s="237"/>
      <c r="AJ100" s="239">
        <f>SUM(AK100:AO100)</f>
        <v>1.27</v>
      </c>
      <c r="AK100" s="237">
        <v>0</v>
      </c>
      <c r="AL100" s="237">
        <v>1.17</v>
      </c>
      <c r="AM100" s="237">
        <v>0</v>
      </c>
      <c r="AN100" s="237">
        <v>0.1</v>
      </c>
      <c r="AO100" s="237"/>
      <c r="AP100" s="250">
        <v>473.4</v>
      </c>
      <c r="AQ100" s="334">
        <f>W100/C100</f>
        <v>0.69636363636363641</v>
      </c>
      <c r="AR100" s="207">
        <f>AC100/I100</f>
        <v>0.29487179487179488</v>
      </c>
      <c r="AS100" s="209">
        <f>W100-'[1]1-9'!W99</f>
        <v>0.62999999999999989</v>
      </c>
      <c r="AT100" s="196"/>
    </row>
    <row r="101" spans="1:46" hidden="1">
      <c r="A101" s="245">
        <v>2</v>
      </c>
      <c r="B101" s="246" t="s">
        <v>243</v>
      </c>
      <c r="C101" s="214">
        <f>D101+E101+F101+G101</f>
        <v>2</v>
      </c>
      <c r="D101" s="255"/>
      <c r="E101" s="245">
        <v>2</v>
      </c>
      <c r="F101" s="245">
        <v>0</v>
      </c>
      <c r="G101" s="255"/>
      <c r="H101" s="196"/>
      <c r="I101" s="249">
        <f>J101+P101</f>
        <v>0</v>
      </c>
      <c r="J101" s="240">
        <f>SUM(K101:O101)</f>
        <v>0</v>
      </c>
      <c r="K101" s="196"/>
      <c r="L101" s="196"/>
      <c r="M101" s="196"/>
      <c r="N101" s="196"/>
      <c r="O101" s="196"/>
      <c r="P101" s="240">
        <f>SUM(Q101:U101)</f>
        <v>0</v>
      </c>
      <c r="Q101" s="196"/>
      <c r="R101" s="196"/>
      <c r="S101" s="196"/>
      <c r="T101" s="196"/>
      <c r="U101" s="196"/>
      <c r="V101" s="238">
        <f>D101*194.67+E101*173.04+F101*111.72+G101*111.72+H101*127.68+K101*86.255+L101*71.648+M101*84.489+N101*58.258+O101*53.065+Q101*72.658+R101*60.9+S101*74.716+T101*50.578+U101*46.62</f>
        <v>346.08</v>
      </c>
      <c r="W101" s="227">
        <f>SUM(X101:AB101)</f>
        <v>2.2298</v>
      </c>
      <c r="X101" s="237"/>
      <c r="Y101" s="237"/>
      <c r="Z101" s="237">
        <v>2.2298</v>
      </c>
      <c r="AA101" s="237"/>
      <c r="AB101" s="237"/>
      <c r="AC101" s="227">
        <v>0.4</v>
      </c>
      <c r="AD101" s="239">
        <f>SUM(AE101:AI101)</f>
        <v>0</v>
      </c>
      <c r="AE101" s="237"/>
      <c r="AF101" s="237"/>
      <c r="AG101" s="237"/>
      <c r="AH101" s="237"/>
      <c r="AI101" s="237"/>
      <c r="AJ101" s="239">
        <f>SUM(AK101:AO101)</f>
        <v>0.4</v>
      </c>
      <c r="AK101" s="237"/>
      <c r="AL101" s="237"/>
      <c r="AM101" s="237">
        <v>0.4</v>
      </c>
      <c r="AN101" s="237"/>
      <c r="AO101" s="237"/>
      <c r="AP101" s="250">
        <v>279</v>
      </c>
      <c r="AQ101" s="334">
        <f>W101/C101</f>
        <v>1.1149</v>
      </c>
      <c r="AR101" s="207"/>
      <c r="AS101" s="209">
        <f>W101-'[1]1-9'!W100</f>
        <v>1.7298</v>
      </c>
      <c r="AT101" s="196"/>
    </row>
    <row r="102" spans="1:46" hidden="1">
      <c r="A102" s="196"/>
      <c r="B102" s="241" t="s">
        <v>1</v>
      </c>
      <c r="C102" s="227">
        <f t="shared" ref="C102:AT102" si="54">SUM(C74:C101)</f>
        <v>121.81099999999998</v>
      </c>
      <c r="D102" s="227">
        <f t="shared" si="54"/>
        <v>1.35</v>
      </c>
      <c r="E102" s="227">
        <f t="shared" si="54"/>
        <v>26.404999999999998</v>
      </c>
      <c r="F102" s="227">
        <f t="shared" si="54"/>
        <v>60.689000000000007</v>
      </c>
      <c r="G102" s="227">
        <f t="shared" si="54"/>
        <v>33.067</v>
      </c>
      <c r="H102" s="227">
        <f t="shared" si="54"/>
        <v>0.3</v>
      </c>
      <c r="I102" s="227">
        <f t="shared" si="54"/>
        <v>52.210999999999999</v>
      </c>
      <c r="J102" s="227">
        <f t="shared" si="54"/>
        <v>9.109</v>
      </c>
      <c r="K102" s="227">
        <f t="shared" si="54"/>
        <v>5.8789999999999996</v>
      </c>
      <c r="L102" s="227">
        <f t="shared" si="54"/>
        <v>2.6</v>
      </c>
      <c r="M102" s="227">
        <f t="shared" si="54"/>
        <v>0.63</v>
      </c>
      <c r="N102" s="227">
        <f t="shared" si="54"/>
        <v>0</v>
      </c>
      <c r="O102" s="227">
        <f t="shared" si="54"/>
        <v>0</v>
      </c>
      <c r="P102" s="227">
        <f t="shared" si="54"/>
        <v>43.101999999999997</v>
      </c>
      <c r="Q102" s="227">
        <f t="shared" si="54"/>
        <v>7.7270000000000003</v>
      </c>
      <c r="R102" s="227">
        <f t="shared" si="54"/>
        <v>18.074999999999999</v>
      </c>
      <c r="S102" s="227">
        <f t="shared" si="54"/>
        <v>1.2</v>
      </c>
      <c r="T102" s="227">
        <f t="shared" si="54"/>
        <v>16.100000000000001</v>
      </c>
      <c r="U102" s="227">
        <f t="shared" si="54"/>
        <v>0</v>
      </c>
      <c r="V102" s="242">
        <f t="shared" si="54"/>
        <v>18657.416901000004</v>
      </c>
      <c r="W102" s="227">
        <f t="shared" si="54"/>
        <v>117.36150000000001</v>
      </c>
      <c r="X102" s="227">
        <f t="shared" si="54"/>
        <v>3.5329999999999999</v>
      </c>
      <c r="Y102" s="227">
        <f t="shared" si="54"/>
        <v>18.750000000000004</v>
      </c>
      <c r="Z102" s="227">
        <f t="shared" si="54"/>
        <v>74.623100000000008</v>
      </c>
      <c r="AA102" s="227">
        <f t="shared" si="54"/>
        <v>20.455400000000004</v>
      </c>
      <c r="AB102" s="227">
        <f t="shared" si="54"/>
        <v>0</v>
      </c>
      <c r="AC102" s="227">
        <f t="shared" si="54"/>
        <v>24.606999999999996</v>
      </c>
      <c r="AD102" s="227">
        <f t="shared" si="54"/>
        <v>8.3840000000000003</v>
      </c>
      <c r="AE102" s="227">
        <f t="shared" si="54"/>
        <v>3.6</v>
      </c>
      <c r="AF102" s="227">
        <f t="shared" si="54"/>
        <v>4.242</v>
      </c>
      <c r="AG102" s="227">
        <f t="shared" si="54"/>
        <v>0.34200000000000003</v>
      </c>
      <c r="AH102" s="227">
        <f t="shared" si="54"/>
        <v>0.2</v>
      </c>
      <c r="AI102" s="227">
        <f t="shared" si="54"/>
        <v>0</v>
      </c>
      <c r="AJ102" s="227">
        <f t="shared" si="54"/>
        <v>18.668999999999993</v>
      </c>
      <c r="AK102" s="227">
        <f t="shared" si="54"/>
        <v>2.25</v>
      </c>
      <c r="AL102" s="227">
        <f t="shared" si="54"/>
        <v>9.1359999999999992</v>
      </c>
      <c r="AM102" s="227">
        <f t="shared" si="54"/>
        <v>2.27</v>
      </c>
      <c r="AN102" s="227">
        <f t="shared" si="54"/>
        <v>5.0129999999999999</v>
      </c>
      <c r="AO102" s="227">
        <f t="shared" si="54"/>
        <v>0</v>
      </c>
      <c r="AP102" s="256">
        <f t="shared" si="54"/>
        <v>15142.299999999997</v>
      </c>
      <c r="AQ102" s="335">
        <f t="shared" si="54"/>
        <v>28.093066008020543</v>
      </c>
      <c r="AR102" s="227">
        <f t="shared" si="54"/>
        <v>6.6474256439219959</v>
      </c>
      <c r="AS102" s="227">
        <f t="shared" si="54"/>
        <v>61.986500000000014</v>
      </c>
      <c r="AT102" s="227">
        <f t="shared" si="54"/>
        <v>0</v>
      </c>
    </row>
    <row r="103" spans="1:46" hidden="1">
      <c r="I103" s="229"/>
    </row>
    <row r="104" spans="1:46" hidden="1">
      <c r="B104" s="538" t="s">
        <v>190</v>
      </c>
      <c r="C104" s="539"/>
      <c r="D104" s="539"/>
      <c r="E104" s="539"/>
      <c r="F104" s="539"/>
      <c r="I104" s="229"/>
      <c r="V104" s="173" t="s">
        <v>191</v>
      </c>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331"/>
    </row>
    <row r="105" spans="1:46" hidden="1">
      <c r="B105" s="538" t="s">
        <v>244</v>
      </c>
      <c r="C105" s="539"/>
      <c r="D105" s="539"/>
      <c r="E105" s="539"/>
      <c r="F105" s="539"/>
      <c r="I105" s="229"/>
      <c r="V105" s="173" t="s">
        <v>193</v>
      </c>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331"/>
    </row>
    <row r="106" spans="1:46" hidden="1">
      <c r="B106" s="172"/>
      <c r="C106" s="172"/>
      <c r="D106" s="172"/>
      <c r="E106" s="172"/>
      <c r="F106" s="172"/>
      <c r="I106" s="229"/>
      <c r="V106" s="173"/>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331"/>
    </row>
    <row r="107" spans="1:46" hidden="1">
      <c r="A107" s="542" t="str">
        <f>A66</f>
        <v>Biểu 5: KẾT QUẢ THỰC HIỆN KẾ HOẠCH LÀM ĐƯỜNG GTNT, RÃNH THOÁT NƯỚC THEO CƠ CHẾ HỖ TRỢ XI MĂNG ĐẾN NGÀY 19/12/2016</v>
      </c>
      <c r="B107" s="542"/>
      <c r="C107" s="542"/>
      <c r="D107" s="542"/>
      <c r="E107" s="542"/>
      <c r="F107" s="542"/>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c r="AC107" s="542"/>
      <c r="AD107" s="542"/>
      <c r="AE107" s="542"/>
      <c r="AF107" s="542"/>
      <c r="AG107" s="542"/>
      <c r="AH107" s="542"/>
      <c r="AI107" s="542"/>
      <c r="AJ107" s="542"/>
      <c r="AK107" s="542"/>
      <c r="AL107" s="542"/>
      <c r="AM107" s="542"/>
      <c r="AN107" s="542"/>
      <c r="AO107" s="542"/>
      <c r="AP107" s="542"/>
      <c r="AQ107" s="542"/>
      <c r="AR107" s="542"/>
      <c r="AS107" s="542"/>
      <c r="AT107" s="542"/>
    </row>
    <row r="108" spans="1:46" hidden="1">
      <c r="A108" s="543"/>
      <c r="B108" s="543"/>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543"/>
      <c r="AK108" s="543"/>
      <c r="AL108" s="543"/>
      <c r="AM108" s="543"/>
      <c r="AN108" s="543"/>
      <c r="AO108" s="543"/>
      <c r="AP108" s="543"/>
      <c r="AQ108" s="543"/>
      <c r="AR108" s="543"/>
      <c r="AS108" s="543"/>
      <c r="AT108" s="543"/>
    </row>
    <row r="109" spans="1:46" ht="14.25" hidden="1" customHeight="1">
      <c r="A109" s="544" t="s">
        <v>0</v>
      </c>
      <c r="B109" s="533" t="s">
        <v>161</v>
      </c>
      <c r="C109" s="546" t="s">
        <v>162</v>
      </c>
      <c r="D109" s="546"/>
      <c r="E109" s="546"/>
      <c r="F109" s="546"/>
      <c r="G109" s="546"/>
      <c r="H109" s="546"/>
      <c r="I109" s="546"/>
      <c r="J109" s="546"/>
      <c r="K109" s="546"/>
      <c r="L109" s="546"/>
      <c r="M109" s="546"/>
      <c r="N109" s="546"/>
      <c r="O109" s="546"/>
      <c r="P109" s="546"/>
      <c r="Q109" s="546"/>
      <c r="R109" s="546"/>
      <c r="S109" s="546"/>
      <c r="T109" s="546"/>
      <c r="U109" s="546"/>
      <c r="V109" s="546"/>
      <c r="W109" s="547" t="s">
        <v>163</v>
      </c>
      <c r="X109" s="547"/>
      <c r="Y109" s="547"/>
      <c r="Z109" s="547"/>
      <c r="AA109" s="547"/>
      <c r="AB109" s="547"/>
      <c r="AC109" s="547"/>
      <c r="AD109" s="547"/>
      <c r="AE109" s="547"/>
      <c r="AF109" s="547"/>
      <c r="AG109" s="547"/>
      <c r="AH109" s="547"/>
      <c r="AI109" s="547"/>
      <c r="AJ109" s="547"/>
      <c r="AK109" s="547"/>
      <c r="AL109" s="547"/>
      <c r="AM109" s="547"/>
      <c r="AN109" s="547"/>
      <c r="AO109" s="547"/>
      <c r="AP109" s="547"/>
      <c r="AQ109" s="547" t="s">
        <v>164</v>
      </c>
      <c r="AR109" s="547"/>
      <c r="AS109" s="547" t="s">
        <v>165</v>
      </c>
      <c r="AT109" s="547"/>
    </row>
    <row r="110" spans="1:46" ht="15" hidden="1" customHeight="1">
      <c r="A110" s="545"/>
      <c r="B110" s="534"/>
      <c r="C110" s="533" t="s">
        <v>166</v>
      </c>
      <c r="D110" s="536" t="s">
        <v>167</v>
      </c>
      <c r="E110" s="536"/>
      <c r="F110" s="536"/>
      <c r="G110" s="536"/>
      <c r="H110" s="536"/>
      <c r="I110" s="533" t="s">
        <v>168</v>
      </c>
      <c r="J110" s="537" t="s">
        <v>245</v>
      </c>
      <c r="K110" s="537"/>
      <c r="L110" s="537"/>
      <c r="M110" s="537"/>
      <c r="N110" s="537"/>
      <c r="O110" s="537"/>
      <c r="P110" s="537"/>
      <c r="Q110" s="537"/>
      <c r="R110" s="537"/>
      <c r="S110" s="537"/>
      <c r="T110" s="537"/>
      <c r="U110" s="537"/>
      <c r="V110" s="552" t="s">
        <v>246</v>
      </c>
      <c r="W110" s="533" t="s">
        <v>170</v>
      </c>
      <c r="X110" s="555" t="s">
        <v>167</v>
      </c>
      <c r="Y110" s="555"/>
      <c r="Z110" s="555"/>
      <c r="AA110" s="555"/>
      <c r="AB110" s="555"/>
      <c r="AC110" s="533" t="s">
        <v>168</v>
      </c>
      <c r="AD110" s="537" t="s">
        <v>167</v>
      </c>
      <c r="AE110" s="537"/>
      <c r="AF110" s="537"/>
      <c r="AG110" s="537"/>
      <c r="AH110" s="537"/>
      <c r="AI110" s="537"/>
      <c r="AJ110" s="537"/>
      <c r="AK110" s="537"/>
      <c r="AL110" s="537"/>
      <c r="AM110" s="537"/>
      <c r="AN110" s="537"/>
      <c r="AO110" s="537"/>
      <c r="AP110" s="552" t="s">
        <v>171</v>
      </c>
      <c r="AQ110" s="548" t="s">
        <v>172</v>
      </c>
      <c r="AR110" s="548" t="s">
        <v>173</v>
      </c>
      <c r="AS110" s="548" t="s">
        <v>170</v>
      </c>
      <c r="AT110" s="548" t="s">
        <v>168</v>
      </c>
    </row>
    <row r="111" spans="1:46" ht="15" hidden="1" customHeight="1">
      <c r="A111" s="545"/>
      <c r="B111" s="534"/>
      <c r="C111" s="534"/>
      <c r="D111" s="552" t="s">
        <v>174</v>
      </c>
      <c r="E111" s="552" t="s">
        <v>175</v>
      </c>
      <c r="F111" s="552" t="s">
        <v>176</v>
      </c>
      <c r="G111" s="552" t="s">
        <v>177</v>
      </c>
      <c r="H111" s="552" t="s">
        <v>178</v>
      </c>
      <c r="I111" s="534"/>
      <c r="J111" s="537" t="s">
        <v>179</v>
      </c>
      <c r="K111" s="537"/>
      <c r="L111" s="537"/>
      <c r="M111" s="537"/>
      <c r="N111" s="537"/>
      <c r="O111" s="537"/>
      <c r="P111" s="537" t="s">
        <v>180</v>
      </c>
      <c r="Q111" s="537"/>
      <c r="R111" s="537"/>
      <c r="S111" s="537"/>
      <c r="T111" s="537"/>
      <c r="U111" s="537"/>
      <c r="V111" s="553"/>
      <c r="W111" s="534"/>
      <c r="X111" s="552" t="s">
        <v>174</v>
      </c>
      <c r="Y111" s="552" t="s">
        <v>175</v>
      </c>
      <c r="Z111" s="552" t="s">
        <v>176</v>
      </c>
      <c r="AA111" s="552" t="s">
        <v>177</v>
      </c>
      <c r="AB111" s="552" t="s">
        <v>178</v>
      </c>
      <c r="AC111" s="534"/>
      <c r="AD111" s="537" t="s">
        <v>179</v>
      </c>
      <c r="AE111" s="537"/>
      <c r="AF111" s="537"/>
      <c r="AG111" s="537"/>
      <c r="AH111" s="537"/>
      <c r="AI111" s="537"/>
      <c r="AJ111" s="537" t="s">
        <v>180</v>
      </c>
      <c r="AK111" s="537"/>
      <c r="AL111" s="537"/>
      <c r="AM111" s="537"/>
      <c r="AN111" s="537"/>
      <c r="AO111" s="537"/>
      <c r="AP111" s="553"/>
      <c r="AQ111" s="549"/>
      <c r="AR111" s="549"/>
      <c r="AS111" s="549"/>
      <c r="AT111" s="549"/>
    </row>
    <row r="112" spans="1:46" ht="15.5" hidden="1">
      <c r="A112" s="179"/>
      <c r="B112" s="534"/>
      <c r="C112" s="534"/>
      <c r="D112" s="553"/>
      <c r="E112" s="553"/>
      <c r="F112" s="553"/>
      <c r="G112" s="553"/>
      <c r="H112" s="553"/>
      <c r="I112" s="534"/>
      <c r="J112" s="556" t="s">
        <v>1</v>
      </c>
      <c r="K112" s="551" t="s">
        <v>181</v>
      </c>
      <c r="L112" s="551"/>
      <c r="M112" s="551" t="s">
        <v>182</v>
      </c>
      <c r="N112" s="551"/>
      <c r="O112" s="551" t="s">
        <v>183</v>
      </c>
      <c r="P112" s="556" t="s">
        <v>1</v>
      </c>
      <c r="Q112" s="551" t="s">
        <v>181</v>
      </c>
      <c r="R112" s="551"/>
      <c r="S112" s="551" t="s">
        <v>182</v>
      </c>
      <c r="T112" s="551"/>
      <c r="U112" s="551" t="s">
        <v>183</v>
      </c>
      <c r="V112" s="553"/>
      <c r="W112" s="534"/>
      <c r="X112" s="553"/>
      <c r="Y112" s="553"/>
      <c r="Z112" s="553"/>
      <c r="AA112" s="553"/>
      <c r="AB112" s="553"/>
      <c r="AC112" s="534"/>
      <c r="AD112" s="556" t="s">
        <v>1</v>
      </c>
      <c r="AE112" s="551" t="s">
        <v>181</v>
      </c>
      <c r="AF112" s="551"/>
      <c r="AG112" s="551" t="s">
        <v>182</v>
      </c>
      <c r="AH112" s="551"/>
      <c r="AI112" s="551" t="s">
        <v>183</v>
      </c>
      <c r="AJ112" s="556" t="s">
        <v>1</v>
      </c>
      <c r="AK112" s="551" t="s">
        <v>181</v>
      </c>
      <c r="AL112" s="551"/>
      <c r="AM112" s="551" t="s">
        <v>182</v>
      </c>
      <c r="AN112" s="551"/>
      <c r="AO112" s="551" t="s">
        <v>183</v>
      </c>
      <c r="AP112" s="553"/>
      <c r="AQ112" s="549"/>
      <c r="AR112" s="549"/>
      <c r="AS112" s="549"/>
      <c r="AT112" s="549"/>
    </row>
    <row r="113" spans="1:46" ht="90" hidden="1" customHeight="1">
      <c r="A113" s="179"/>
      <c r="B113" s="535"/>
      <c r="C113" s="535"/>
      <c r="D113" s="554"/>
      <c r="E113" s="554"/>
      <c r="F113" s="554"/>
      <c r="G113" s="554"/>
      <c r="H113" s="554"/>
      <c r="I113" s="535"/>
      <c r="J113" s="557"/>
      <c r="K113" s="186" t="s">
        <v>184</v>
      </c>
      <c r="L113" s="186" t="s">
        <v>185</v>
      </c>
      <c r="M113" s="186" t="s">
        <v>184</v>
      </c>
      <c r="N113" s="186" t="s">
        <v>185</v>
      </c>
      <c r="O113" s="551"/>
      <c r="P113" s="557"/>
      <c r="Q113" s="186" t="s">
        <v>184</v>
      </c>
      <c r="R113" s="186" t="s">
        <v>185</v>
      </c>
      <c r="S113" s="186" t="s">
        <v>184</v>
      </c>
      <c r="T113" s="186" t="s">
        <v>185</v>
      </c>
      <c r="U113" s="551"/>
      <c r="V113" s="554"/>
      <c r="W113" s="535"/>
      <c r="X113" s="554"/>
      <c r="Y113" s="554"/>
      <c r="Z113" s="554"/>
      <c r="AA113" s="554"/>
      <c r="AB113" s="554"/>
      <c r="AC113" s="535"/>
      <c r="AD113" s="557"/>
      <c r="AE113" s="186" t="s">
        <v>184</v>
      </c>
      <c r="AF113" s="186" t="s">
        <v>185</v>
      </c>
      <c r="AG113" s="186" t="s">
        <v>184</v>
      </c>
      <c r="AH113" s="186" t="s">
        <v>185</v>
      </c>
      <c r="AI113" s="551"/>
      <c r="AJ113" s="557"/>
      <c r="AK113" s="186" t="s">
        <v>184</v>
      </c>
      <c r="AL113" s="186" t="s">
        <v>185</v>
      </c>
      <c r="AM113" s="186" t="s">
        <v>184</v>
      </c>
      <c r="AN113" s="186" t="s">
        <v>185</v>
      </c>
      <c r="AO113" s="551"/>
      <c r="AP113" s="554"/>
      <c r="AQ113" s="550"/>
      <c r="AR113" s="550"/>
      <c r="AS113" s="550"/>
      <c r="AT113" s="550"/>
    </row>
    <row r="114" spans="1:46" hidden="1">
      <c r="A114" s="177" t="s">
        <v>25</v>
      </c>
      <c r="B114" s="178" t="s">
        <v>215</v>
      </c>
      <c r="C114" s="178"/>
      <c r="D114" s="243"/>
      <c r="E114" s="243"/>
      <c r="F114" s="243"/>
      <c r="G114" s="243"/>
      <c r="H114" s="243"/>
      <c r="I114" s="178"/>
      <c r="J114" s="180"/>
      <c r="K114" s="180"/>
      <c r="L114" s="180"/>
      <c r="M114" s="180"/>
      <c r="N114" s="180"/>
      <c r="O114" s="180"/>
      <c r="P114" s="180"/>
      <c r="Q114" s="180"/>
      <c r="R114" s="180"/>
      <c r="S114" s="180"/>
      <c r="T114" s="180"/>
      <c r="U114" s="180"/>
      <c r="V114" s="243"/>
      <c r="W114" s="178"/>
      <c r="X114" s="243"/>
      <c r="Y114" s="243"/>
      <c r="Z114" s="243"/>
      <c r="AA114" s="243"/>
      <c r="AB114" s="243"/>
      <c r="AC114" s="178"/>
      <c r="AD114" s="180"/>
      <c r="AE114" s="180"/>
      <c r="AF114" s="180"/>
      <c r="AG114" s="180"/>
      <c r="AH114" s="180"/>
      <c r="AI114" s="180"/>
      <c r="AJ114" s="180"/>
      <c r="AK114" s="180"/>
      <c r="AL114" s="180"/>
      <c r="AM114" s="180"/>
      <c r="AN114" s="180"/>
      <c r="AO114" s="180"/>
      <c r="AP114" s="243"/>
      <c r="AQ114" s="244"/>
      <c r="AR114" s="244"/>
      <c r="AS114" s="244"/>
      <c r="AT114" s="244"/>
    </row>
    <row r="115" spans="1:46" hidden="1">
      <c r="A115" s="257">
        <v>1</v>
      </c>
      <c r="B115" s="258" t="s">
        <v>247</v>
      </c>
      <c r="C115" s="259">
        <f t="shared" ref="C115:C120" si="55">SUM(D115:H115)</f>
        <v>3.5</v>
      </c>
      <c r="D115" s="259">
        <v>0</v>
      </c>
      <c r="E115" s="259">
        <v>3</v>
      </c>
      <c r="F115" s="259">
        <v>0</v>
      </c>
      <c r="G115" s="259">
        <v>0.5</v>
      </c>
      <c r="H115" s="259">
        <v>0</v>
      </c>
      <c r="I115" s="249">
        <f t="shared" ref="I115:I120" si="56">J115+P115</f>
        <v>10.448</v>
      </c>
      <c r="J115" s="240">
        <f t="shared" ref="J115:J120" si="57">SUM(K115:O115)</f>
        <v>3.1280000000000001</v>
      </c>
      <c r="K115" s="196">
        <v>3.1280000000000001</v>
      </c>
      <c r="L115" s="196"/>
      <c r="M115" s="196"/>
      <c r="N115" s="196"/>
      <c r="O115" s="196"/>
      <c r="P115" s="240">
        <f t="shared" ref="P115:P120" si="58">SUM(Q115:U115)</f>
        <v>7.32</v>
      </c>
      <c r="Q115" s="196">
        <v>7.32</v>
      </c>
      <c r="R115" s="196"/>
      <c r="S115" s="196"/>
      <c r="T115" s="196"/>
      <c r="U115" s="196"/>
      <c r="V115" s="238">
        <f t="shared" ref="V115:V120" si="59">D115*194.67+E115*173.04+F115*111.72+G115*111.72+H115*127.68+K115*86.255+L115*71.648+M115*84.489+N115*58.258+O115*53.065+Q115*72.658+R115*60.9+S115*74.716+T115*50.578+U115*46.62</f>
        <v>1376.6422000000002</v>
      </c>
      <c r="W115" s="227">
        <f t="shared" ref="W115:W120" si="60">SUM(X115:AB115)</f>
        <v>4.327</v>
      </c>
      <c r="X115" s="237"/>
      <c r="Y115" s="237">
        <v>3.5819999999999999</v>
      </c>
      <c r="Z115" s="237">
        <v>0.245</v>
      </c>
      <c r="AA115" s="237">
        <v>0.5</v>
      </c>
      <c r="AB115" s="237"/>
      <c r="AC115" s="227">
        <v>10.5</v>
      </c>
      <c r="AD115" s="239">
        <f t="shared" ref="AD115:AD120" si="61">SUM(AE115:AI115)</f>
        <v>2</v>
      </c>
      <c r="AE115" s="237">
        <v>2</v>
      </c>
      <c r="AF115" s="237"/>
      <c r="AG115" s="237"/>
      <c r="AH115" s="237"/>
      <c r="AI115" s="237"/>
      <c r="AJ115" s="239">
        <f t="shared" ref="AJ115:AJ120" si="62">SUM(AK115:AO115)</f>
        <v>8.5</v>
      </c>
      <c r="AK115" s="237">
        <v>8.5</v>
      </c>
      <c r="AL115" s="237"/>
      <c r="AM115" s="237"/>
      <c r="AN115" s="237"/>
      <c r="AO115" s="237"/>
      <c r="AP115" s="196">
        <v>1000</v>
      </c>
      <c r="AQ115" s="334">
        <f t="shared" ref="AQ115:AQ120" si="63">W115/C115</f>
        <v>1.2362857142857142</v>
      </c>
      <c r="AR115" s="207">
        <f t="shared" ref="AR115:AR120" si="64">AC115/I115</f>
        <v>1.0049770290964777</v>
      </c>
      <c r="AS115" s="196"/>
      <c r="AT115" s="196"/>
    </row>
    <row r="116" spans="1:46" hidden="1">
      <c r="A116" s="260">
        <v>2</v>
      </c>
      <c r="B116" s="258" t="s">
        <v>248</v>
      </c>
      <c r="C116" s="261">
        <f t="shared" si="55"/>
        <v>3.6</v>
      </c>
      <c r="D116" s="261">
        <v>0</v>
      </c>
      <c r="E116" s="261">
        <v>3</v>
      </c>
      <c r="F116" s="261">
        <v>0</v>
      </c>
      <c r="G116" s="261">
        <v>0.6</v>
      </c>
      <c r="H116" s="261">
        <v>0</v>
      </c>
      <c r="I116" s="249">
        <f t="shared" si="56"/>
        <v>2.33</v>
      </c>
      <c r="J116" s="240">
        <f t="shared" si="57"/>
        <v>0</v>
      </c>
      <c r="K116" s="196"/>
      <c r="L116" s="196"/>
      <c r="M116" s="196"/>
      <c r="N116" s="196"/>
      <c r="O116" s="196"/>
      <c r="P116" s="240">
        <f t="shared" si="58"/>
        <v>2.33</v>
      </c>
      <c r="Q116" s="196">
        <v>2.33</v>
      </c>
      <c r="R116" s="196"/>
      <c r="S116" s="196"/>
      <c r="T116" s="196"/>
      <c r="U116" s="196"/>
      <c r="V116" s="238">
        <f t="shared" si="59"/>
        <v>755.44514000000004</v>
      </c>
      <c r="W116" s="227">
        <f t="shared" si="60"/>
        <v>2.15</v>
      </c>
      <c r="X116" s="237"/>
      <c r="Y116" s="237">
        <v>1.9</v>
      </c>
      <c r="Z116" s="237"/>
      <c r="AA116" s="237">
        <v>0.25</v>
      </c>
      <c r="AB116" s="237"/>
      <c r="AC116" s="227"/>
      <c r="AD116" s="239">
        <f t="shared" si="61"/>
        <v>0</v>
      </c>
      <c r="AE116" s="237"/>
      <c r="AF116" s="237"/>
      <c r="AG116" s="237"/>
      <c r="AH116" s="237"/>
      <c r="AI116" s="237"/>
      <c r="AJ116" s="239">
        <f t="shared" si="62"/>
        <v>0</v>
      </c>
      <c r="AK116" s="237"/>
      <c r="AL116" s="237"/>
      <c r="AM116" s="237"/>
      <c r="AN116" s="237"/>
      <c r="AO116" s="237"/>
      <c r="AP116" s="196">
        <v>379.2</v>
      </c>
      <c r="AQ116" s="334">
        <f t="shared" si="63"/>
        <v>0.59722222222222221</v>
      </c>
      <c r="AR116" s="207">
        <f t="shared" si="64"/>
        <v>0</v>
      </c>
      <c r="AS116" s="196"/>
      <c r="AT116" s="196"/>
    </row>
    <row r="117" spans="1:46" hidden="1">
      <c r="A117" s="257">
        <v>3</v>
      </c>
      <c r="B117" s="258" t="s">
        <v>249</v>
      </c>
      <c r="C117" s="259">
        <f t="shared" si="55"/>
        <v>2.2999999999999998</v>
      </c>
      <c r="D117" s="259">
        <v>0</v>
      </c>
      <c r="E117" s="259">
        <v>1.5</v>
      </c>
      <c r="F117" s="259">
        <v>0</v>
      </c>
      <c r="G117" s="259">
        <v>0.8</v>
      </c>
      <c r="H117" s="259">
        <v>0</v>
      </c>
      <c r="I117" s="249">
        <f t="shared" si="56"/>
        <v>2.1500000000000004</v>
      </c>
      <c r="J117" s="240">
        <f t="shared" si="57"/>
        <v>1.07</v>
      </c>
      <c r="K117" s="196">
        <v>1.07</v>
      </c>
      <c r="L117" s="196"/>
      <c r="M117" s="196"/>
      <c r="N117" s="196"/>
      <c r="O117" s="196"/>
      <c r="P117" s="240">
        <f t="shared" si="58"/>
        <v>1.08</v>
      </c>
      <c r="Q117" s="196">
        <v>1.08</v>
      </c>
      <c r="R117" s="196"/>
      <c r="S117" s="196"/>
      <c r="T117" s="196"/>
      <c r="U117" s="196"/>
      <c r="V117" s="238">
        <f t="shared" si="59"/>
        <v>519.69948999999997</v>
      </c>
      <c r="W117" s="227">
        <f t="shared" si="60"/>
        <v>1.6</v>
      </c>
      <c r="X117" s="237"/>
      <c r="Y117" s="237">
        <v>0.6</v>
      </c>
      <c r="Z117" s="237"/>
      <c r="AA117" s="237">
        <v>1</v>
      </c>
      <c r="AB117" s="237"/>
      <c r="AC117" s="227">
        <v>0.3</v>
      </c>
      <c r="AD117" s="239">
        <f t="shared" si="61"/>
        <v>0.32</v>
      </c>
      <c r="AE117" s="237">
        <v>0.32</v>
      </c>
      <c r="AF117" s="237"/>
      <c r="AG117" s="237"/>
      <c r="AH117" s="237"/>
      <c r="AI117" s="237"/>
      <c r="AJ117" s="239">
        <f t="shared" si="62"/>
        <v>0.315</v>
      </c>
      <c r="AK117" s="237">
        <v>0.315</v>
      </c>
      <c r="AL117" s="237"/>
      <c r="AM117" s="237"/>
      <c r="AN117" s="237"/>
      <c r="AO117" s="237"/>
      <c r="AP117" s="196">
        <v>235.7</v>
      </c>
      <c r="AQ117" s="334">
        <f t="shared" si="63"/>
        <v>0.69565217391304357</v>
      </c>
      <c r="AR117" s="207">
        <f t="shared" si="64"/>
        <v>0.1395348837209302</v>
      </c>
      <c r="AS117" s="196"/>
      <c r="AT117" s="196"/>
    </row>
    <row r="118" spans="1:46" hidden="1">
      <c r="A118" s="257">
        <v>4</v>
      </c>
      <c r="B118" s="258" t="s">
        <v>250</v>
      </c>
      <c r="C118" s="259">
        <f t="shared" si="55"/>
        <v>1.5</v>
      </c>
      <c r="D118" s="259">
        <v>0</v>
      </c>
      <c r="E118" s="259">
        <v>0.5</v>
      </c>
      <c r="F118" s="259">
        <v>0</v>
      </c>
      <c r="G118" s="259">
        <v>1</v>
      </c>
      <c r="H118" s="259">
        <v>0</v>
      </c>
      <c r="I118" s="249">
        <f t="shared" si="56"/>
        <v>0</v>
      </c>
      <c r="J118" s="240">
        <f t="shared" si="57"/>
        <v>0</v>
      </c>
      <c r="K118" s="196"/>
      <c r="L118" s="196"/>
      <c r="M118" s="196"/>
      <c r="N118" s="196"/>
      <c r="O118" s="196"/>
      <c r="P118" s="240">
        <f t="shared" si="58"/>
        <v>0</v>
      </c>
      <c r="Q118" s="196"/>
      <c r="R118" s="196"/>
      <c r="S118" s="196"/>
      <c r="T118" s="196"/>
      <c r="U118" s="196"/>
      <c r="V118" s="238">
        <f t="shared" si="59"/>
        <v>198.24</v>
      </c>
      <c r="W118" s="227">
        <f t="shared" si="60"/>
        <v>1.6300000000000001</v>
      </c>
      <c r="X118" s="237"/>
      <c r="Y118" s="237">
        <v>0.28000000000000003</v>
      </c>
      <c r="Z118" s="237"/>
      <c r="AA118" s="237">
        <v>1.35</v>
      </c>
      <c r="AB118" s="237"/>
      <c r="AC118" s="227"/>
      <c r="AD118" s="239">
        <f t="shared" si="61"/>
        <v>0</v>
      </c>
      <c r="AE118" s="237"/>
      <c r="AF118" s="237"/>
      <c r="AG118" s="237"/>
      <c r="AH118" s="237"/>
      <c r="AI118" s="237"/>
      <c r="AJ118" s="239">
        <f t="shared" si="62"/>
        <v>0</v>
      </c>
      <c r="AK118" s="237"/>
      <c r="AL118" s="237"/>
      <c r="AM118" s="237"/>
      <c r="AN118" s="237"/>
      <c r="AO118" s="237"/>
      <c r="AP118" s="196">
        <v>231.8</v>
      </c>
      <c r="AQ118" s="334">
        <f t="shared" si="63"/>
        <v>1.0866666666666667</v>
      </c>
      <c r="AR118" s="207"/>
      <c r="AS118" s="196"/>
      <c r="AT118" s="196"/>
    </row>
    <row r="119" spans="1:46" hidden="1">
      <c r="A119" s="257">
        <v>5</v>
      </c>
      <c r="B119" s="258" t="s">
        <v>251</v>
      </c>
      <c r="C119" s="259">
        <f t="shared" si="55"/>
        <v>5.3</v>
      </c>
      <c r="D119" s="259">
        <v>0</v>
      </c>
      <c r="E119" s="259">
        <v>4.5</v>
      </c>
      <c r="F119" s="259">
        <v>0</v>
      </c>
      <c r="G119" s="259">
        <v>0.8</v>
      </c>
      <c r="H119" s="259">
        <v>0</v>
      </c>
      <c r="I119" s="249">
        <f t="shared" si="56"/>
        <v>7.3</v>
      </c>
      <c r="J119" s="240">
        <f t="shared" si="57"/>
        <v>0</v>
      </c>
      <c r="K119" s="196"/>
      <c r="L119" s="196"/>
      <c r="M119" s="196"/>
      <c r="N119" s="196"/>
      <c r="O119" s="196"/>
      <c r="P119" s="240">
        <f t="shared" si="58"/>
        <v>7.3</v>
      </c>
      <c r="Q119" s="196">
        <v>7.3</v>
      </c>
      <c r="R119" s="196"/>
      <c r="S119" s="196"/>
      <c r="T119" s="196"/>
      <c r="U119" s="196"/>
      <c r="V119" s="238">
        <f t="shared" si="59"/>
        <v>1398.4594</v>
      </c>
      <c r="W119" s="227">
        <f t="shared" si="60"/>
        <v>1.8360000000000001</v>
      </c>
      <c r="X119" s="237"/>
      <c r="Y119" s="237">
        <v>1.8360000000000001</v>
      </c>
      <c r="Z119" s="237"/>
      <c r="AA119" s="237"/>
      <c r="AB119" s="237"/>
      <c r="AC119" s="227">
        <v>2.7</v>
      </c>
      <c r="AD119" s="239">
        <f t="shared" si="61"/>
        <v>1.96</v>
      </c>
      <c r="AE119" s="237">
        <v>1.835</v>
      </c>
      <c r="AF119" s="237"/>
      <c r="AG119" s="237">
        <v>0.125</v>
      </c>
      <c r="AH119" s="237"/>
      <c r="AI119" s="237"/>
      <c r="AJ119" s="239">
        <f t="shared" si="62"/>
        <v>1.5</v>
      </c>
      <c r="AK119" s="237">
        <v>1.5</v>
      </c>
      <c r="AL119" s="237"/>
      <c r="AM119" s="237"/>
      <c r="AN119" s="237"/>
      <c r="AO119" s="237"/>
      <c r="AP119" s="196">
        <v>406</v>
      </c>
      <c r="AQ119" s="334">
        <f t="shared" si="63"/>
        <v>0.34641509433962264</v>
      </c>
      <c r="AR119" s="207">
        <f t="shared" si="64"/>
        <v>0.36986301369863017</v>
      </c>
      <c r="AS119" s="196"/>
      <c r="AT119" s="196"/>
    </row>
    <row r="120" spans="1:46" hidden="1">
      <c r="A120" s="257">
        <v>6</v>
      </c>
      <c r="B120" s="258" t="s">
        <v>252</v>
      </c>
      <c r="C120" s="259">
        <f t="shared" si="55"/>
        <v>2.46</v>
      </c>
      <c r="D120" s="259">
        <v>0</v>
      </c>
      <c r="E120" s="259">
        <v>0.5</v>
      </c>
      <c r="F120" s="259">
        <v>0.46</v>
      </c>
      <c r="G120" s="259">
        <v>1.5</v>
      </c>
      <c r="H120" s="259">
        <v>0</v>
      </c>
      <c r="I120" s="249">
        <f t="shared" si="56"/>
        <v>2.61</v>
      </c>
      <c r="J120" s="240">
        <f t="shared" si="57"/>
        <v>0</v>
      </c>
      <c r="K120" s="196"/>
      <c r="L120" s="196"/>
      <c r="M120" s="196"/>
      <c r="N120" s="196"/>
      <c r="O120" s="196"/>
      <c r="P120" s="240">
        <f t="shared" si="58"/>
        <v>2.61</v>
      </c>
      <c r="Q120" s="196">
        <v>2.61</v>
      </c>
      <c r="R120" s="196"/>
      <c r="S120" s="196"/>
      <c r="T120" s="196"/>
      <c r="U120" s="196"/>
      <c r="V120" s="238">
        <f t="shared" si="59"/>
        <v>495.12858</v>
      </c>
      <c r="W120" s="227">
        <f t="shared" si="60"/>
        <v>1.6099999999999999</v>
      </c>
      <c r="X120" s="237"/>
      <c r="Y120" s="237">
        <v>0.71</v>
      </c>
      <c r="Z120" s="237">
        <v>0.7</v>
      </c>
      <c r="AA120" s="237">
        <v>0.2</v>
      </c>
      <c r="AB120" s="237"/>
      <c r="AC120" s="227">
        <v>1.6</v>
      </c>
      <c r="AD120" s="239">
        <f t="shared" si="61"/>
        <v>0</v>
      </c>
      <c r="AE120" s="237"/>
      <c r="AF120" s="237"/>
      <c r="AG120" s="237"/>
      <c r="AH120" s="237"/>
      <c r="AI120" s="237"/>
      <c r="AJ120" s="239">
        <f t="shared" si="62"/>
        <v>2</v>
      </c>
      <c r="AK120" s="237">
        <v>1.5</v>
      </c>
      <c r="AL120" s="237"/>
      <c r="AM120" s="237">
        <v>0.5</v>
      </c>
      <c r="AN120" s="237"/>
      <c r="AO120" s="237"/>
      <c r="AP120" s="196">
        <v>418</v>
      </c>
      <c r="AQ120" s="334">
        <f t="shared" si="63"/>
        <v>0.65447154471544711</v>
      </c>
      <c r="AR120" s="207">
        <f t="shared" si="64"/>
        <v>0.61302681992337171</v>
      </c>
      <c r="AS120" s="196"/>
      <c r="AT120" s="196"/>
    </row>
    <row r="121" spans="1:46" hidden="1">
      <c r="A121" s="177" t="s">
        <v>26</v>
      </c>
      <c r="B121" s="178" t="s">
        <v>253</v>
      </c>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245"/>
      <c r="AR121" s="196"/>
      <c r="AS121" s="196"/>
      <c r="AT121" s="196"/>
    </row>
    <row r="122" spans="1:46" hidden="1">
      <c r="A122" s="233">
        <v>1</v>
      </c>
      <c r="B122" s="233" t="s">
        <v>254</v>
      </c>
      <c r="C122" s="214">
        <f t="shared" ref="C122:C131" si="65">D122+E122+F122+G122</f>
        <v>1.76</v>
      </c>
      <c r="D122" s="233"/>
      <c r="E122" s="233">
        <v>1.5</v>
      </c>
      <c r="F122" s="245">
        <v>0.26</v>
      </c>
      <c r="G122" s="259"/>
      <c r="H122" s="196"/>
      <c r="I122" s="249">
        <f t="shared" ref="I122:I131" si="66">J122+P122</f>
        <v>0.8</v>
      </c>
      <c r="J122" s="240">
        <f t="shared" ref="J122:J131" si="67">SUM(K122:O122)</f>
        <v>0</v>
      </c>
      <c r="K122" s="196"/>
      <c r="L122" s="196"/>
      <c r="M122" s="196"/>
      <c r="N122" s="196"/>
      <c r="O122" s="196"/>
      <c r="P122" s="240">
        <f t="shared" ref="P122:P131" si="68">SUM(Q122:U122)</f>
        <v>0.8</v>
      </c>
      <c r="Q122" s="196">
        <v>0.8</v>
      </c>
      <c r="R122" s="196"/>
      <c r="S122" s="196"/>
      <c r="T122" s="196"/>
      <c r="U122" s="196"/>
      <c r="V122" s="238">
        <f t="shared" ref="V122:V131" si="69">D122*194.67+E122*173.04+F122*111.72+G122*111.72+H122*127.68+K122*86.255+L122*71.648+M122*84.489+N122*58.258+O122*53.065+Q122*72.658+R122*60.9+S122*74.716+T122*50.578+U122*46.62</f>
        <v>346.73359999999997</v>
      </c>
      <c r="W122" s="227">
        <f t="shared" ref="W122:W131" si="70">SUM(X122:AB122)</f>
        <v>1.73</v>
      </c>
      <c r="X122" s="237"/>
      <c r="Y122" s="237">
        <v>1.51</v>
      </c>
      <c r="Z122" s="237">
        <v>0.22</v>
      </c>
      <c r="AA122" s="237"/>
      <c r="AB122" s="237"/>
      <c r="AC122" s="227">
        <v>0.8</v>
      </c>
      <c r="AD122" s="239">
        <f t="shared" ref="AD122:AD131" si="71">SUM(AE122:AI122)</f>
        <v>0.6</v>
      </c>
      <c r="AE122" s="237">
        <v>0.6</v>
      </c>
      <c r="AF122" s="237"/>
      <c r="AG122" s="237"/>
      <c r="AH122" s="237"/>
      <c r="AI122" s="237"/>
      <c r="AJ122" s="239">
        <f t="shared" ref="AJ122:AJ131" si="72">SUM(AK122:AO122)</f>
        <v>0.2</v>
      </c>
      <c r="AK122" s="237"/>
      <c r="AL122" s="237"/>
      <c r="AM122" s="237">
        <v>0.2</v>
      </c>
      <c r="AN122" s="237"/>
      <c r="AO122" s="237"/>
      <c r="AP122" s="196">
        <v>303</v>
      </c>
      <c r="AQ122" s="334">
        <f t="shared" ref="AQ122:AQ132" si="73">W122/C122</f>
        <v>0.98295454545454541</v>
      </c>
      <c r="AR122" s="207">
        <f t="shared" ref="AR122:AR132" si="74">AC122/I122</f>
        <v>1</v>
      </c>
      <c r="AS122" s="196"/>
      <c r="AT122" s="196"/>
    </row>
    <row r="123" spans="1:46" hidden="1">
      <c r="A123" s="233">
        <v>2</v>
      </c>
      <c r="B123" s="233" t="s">
        <v>255</v>
      </c>
      <c r="C123" s="214">
        <f t="shared" si="65"/>
        <v>0.44999999999999996</v>
      </c>
      <c r="D123" s="233"/>
      <c r="E123" s="233">
        <v>0.3</v>
      </c>
      <c r="F123" s="245">
        <v>0.15</v>
      </c>
      <c r="G123" s="261"/>
      <c r="H123" s="196"/>
      <c r="I123" s="249">
        <f t="shared" si="66"/>
        <v>0.5</v>
      </c>
      <c r="J123" s="240">
        <f t="shared" si="67"/>
        <v>0</v>
      </c>
      <c r="K123" s="196"/>
      <c r="L123" s="196"/>
      <c r="M123" s="196"/>
      <c r="N123" s="196"/>
      <c r="O123" s="196"/>
      <c r="P123" s="240">
        <f t="shared" si="68"/>
        <v>0.5</v>
      </c>
      <c r="Q123" s="196">
        <v>0.5</v>
      </c>
      <c r="R123" s="196"/>
      <c r="S123" s="196"/>
      <c r="T123" s="196"/>
      <c r="U123" s="196"/>
      <c r="V123" s="238">
        <f t="shared" si="69"/>
        <v>104.999</v>
      </c>
      <c r="W123" s="227">
        <f t="shared" si="70"/>
        <v>0.83100000000000007</v>
      </c>
      <c r="X123" s="237"/>
      <c r="Y123" s="237">
        <v>0.68</v>
      </c>
      <c r="Z123" s="237">
        <v>0.151</v>
      </c>
      <c r="AA123" s="237"/>
      <c r="AB123" s="237"/>
      <c r="AC123" s="227">
        <v>0.5</v>
      </c>
      <c r="AD123" s="239">
        <f t="shared" si="71"/>
        <v>0</v>
      </c>
      <c r="AE123" s="237"/>
      <c r="AF123" s="237"/>
      <c r="AG123" s="237"/>
      <c r="AH123" s="237"/>
      <c r="AI123" s="237"/>
      <c r="AJ123" s="239">
        <f t="shared" si="72"/>
        <v>0</v>
      </c>
      <c r="AK123" s="237"/>
      <c r="AL123" s="237"/>
      <c r="AM123" s="237"/>
      <c r="AN123" s="237"/>
      <c r="AO123" s="237"/>
      <c r="AP123" s="196">
        <v>156.6</v>
      </c>
      <c r="AQ123" s="334">
        <f t="shared" si="73"/>
        <v>1.8466666666666669</v>
      </c>
      <c r="AR123" s="207">
        <f t="shared" si="74"/>
        <v>1</v>
      </c>
      <c r="AS123" s="196"/>
      <c r="AT123" s="196"/>
    </row>
    <row r="124" spans="1:46" hidden="1">
      <c r="A124" s="233">
        <v>3</v>
      </c>
      <c r="B124" s="233" t="s">
        <v>256</v>
      </c>
      <c r="C124" s="214">
        <f t="shared" si="65"/>
        <v>2</v>
      </c>
      <c r="D124" s="233"/>
      <c r="E124" s="233">
        <v>1.6</v>
      </c>
      <c r="F124" s="245">
        <v>0.4</v>
      </c>
      <c r="G124" s="259"/>
      <c r="H124" s="196"/>
      <c r="I124" s="249">
        <f t="shared" si="66"/>
        <v>0</v>
      </c>
      <c r="J124" s="240">
        <f t="shared" si="67"/>
        <v>0</v>
      </c>
      <c r="K124" s="196"/>
      <c r="L124" s="196"/>
      <c r="M124" s="196"/>
      <c r="N124" s="196"/>
      <c r="O124" s="196"/>
      <c r="P124" s="240">
        <f t="shared" si="68"/>
        <v>0</v>
      </c>
      <c r="Q124" s="196"/>
      <c r="R124" s="196"/>
      <c r="S124" s="196"/>
      <c r="T124" s="196"/>
      <c r="U124" s="196"/>
      <c r="V124" s="238">
        <f t="shared" si="69"/>
        <v>321.55199999999996</v>
      </c>
      <c r="W124" s="227">
        <f t="shared" si="70"/>
        <v>0.73699999999999999</v>
      </c>
      <c r="X124" s="237"/>
      <c r="Y124" s="237">
        <v>0.6</v>
      </c>
      <c r="Z124" s="237">
        <v>0.13700000000000001</v>
      </c>
      <c r="AA124" s="237"/>
      <c r="AB124" s="237"/>
      <c r="AC124" s="227"/>
      <c r="AD124" s="239">
        <f t="shared" si="71"/>
        <v>0</v>
      </c>
      <c r="AE124" s="237"/>
      <c r="AF124" s="237"/>
      <c r="AG124" s="237"/>
      <c r="AH124" s="237"/>
      <c r="AI124" s="237"/>
      <c r="AJ124" s="239">
        <f t="shared" si="72"/>
        <v>0</v>
      </c>
      <c r="AK124" s="237"/>
      <c r="AL124" s="237"/>
      <c r="AM124" s="237"/>
      <c r="AN124" s="237"/>
      <c r="AO124" s="237"/>
      <c r="AP124" s="196">
        <v>167.3</v>
      </c>
      <c r="AQ124" s="334">
        <f t="shared" si="73"/>
        <v>0.36849999999999999</v>
      </c>
      <c r="AR124" s="207"/>
      <c r="AS124" s="196"/>
      <c r="AT124" s="196"/>
    </row>
    <row r="125" spans="1:46" hidden="1">
      <c r="A125" s="233">
        <v>4</v>
      </c>
      <c r="B125" s="233" t="s">
        <v>257</v>
      </c>
      <c r="C125" s="214">
        <f t="shared" si="65"/>
        <v>0.8</v>
      </c>
      <c r="D125" s="233"/>
      <c r="E125" s="233">
        <v>0.6</v>
      </c>
      <c r="F125" s="245">
        <v>0.2</v>
      </c>
      <c r="G125" s="259"/>
      <c r="H125" s="196"/>
      <c r="I125" s="249">
        <f t="shared" si="66"/>
        <v>0</v>
      </c>
      <c r="J125" s="240">
        <f t="shared" si="67"/>
        <v>0</v>
      </c>
      <c r="K125" s="196"/>
      <c r="L125" s="196"/>
      <c r="M125" s="196"/>
      <c r="N125" s="196"/>
      <c r="O125" s="196"/>
      <c r="P125" s="240">
        <f t="shared" si="68"/>
        <v>0</v>
      </c>
      <c r="Q125" s="196"/>
      <c r="R125" s="196"/>
      <c r="S125" s="196"/>
      <c r="T125" s="196"/>
      <c r="U125" s="196"/>
      <c r="V125" s="238">
        <f t="shared" si="69"/>
        <v>126.16800000000001</v>
      </c>
      <c r="W125" s="227">
        <f t="shared" si="70"/>
        <v>1.0089999999999999</v>
      </c>
      <c r="X125" s="237"/>
      <c r="Y125" s="237">
        <v>0.24</v>
      </c>
      <c r="Z125" s="237">
        <v>0.76900000000000002</v>
      </c>
      <c r="AA125" s="237"/>
      <c r="AB125" s="237"/>
      <c r="AC125" s="227"/>
      <c r="AD125" s="239">
        <f t="shared" si="71"/>
        <v>0</v>
      </c>
      <c r="AE125" s="237"/>
      <c r="AF125" s="237"/>
      <c r="AG125" s="237"/>
      <c r="AH125" s="237"/>
      <c r="AI125" s="237"/>
      <c r="AJ125" s="239">
        <f t="shared" si="72"/>
        <v>0</v>
      </c>
      <c r="AK125" s="237"/>
      <c r="AL125" s="237"/>
      <c r="AM125" s="237"/>
      <c r="AN125" s="237"/>
      <c r="AO125" s="237"/>
      <c r="AP125" s="196">
        <v>109.3</v>
      </c>
      <c r="AQ125" s="334">
        <f t="shared" si="73"/>
        <v>1.2612499999999998</v>
      </c>
      <c r="AR125" s="207"/>
      <c r="AS125" s="196"/>
      <c r="AT125" s="196"/>
    </row>
    <row r="126" spans="1:46" hidden="1">
      <c r="A126" s="233">
        <v>5</v>
      </c>
      <c r="B126" s="233" t="s">
        <v>258</v>
      </c>
      <c r="C126" s="214">
        <f t="shared" si="65"/>
        <v>1.8</v>
      </c>
      <c r="D126" s="233"/>
      <c r="E126" s="233">
        <v>1.5</v>
      </c>
      <c r="F126" s="245">
        <v>0</v>
      </c>
      <c r="G126" s="259">
        <v>0.3</v>
      </c>
      <c r="H126" s="196"/>
      <c r="I126" s="249">
        <f t="shared" si="66"/>
        <v>0.3</v>
      </c>
      <c r="J126" s="240">
        <f t="shared" si="67"/>
        <v>0.3</v>
      </c>
      <c r="K126" s="196">
        <v>0.3</v>
      </c>
      <c r="L126" s="196"/>
      <c r="M126" s="196"/>
      <c r="N126" s="196"/>
      <c r="O126" s="196"/>
      <c r="P126" s="240">
        <f t="shared" si="68"/>
        <v>0</v>
      </c>
      <c r="Q126" s="196"/>
      <c r="R126" s="196"/>
      <c r="S126" s="196"/>
      <c r="T126" s="196"/>
      <c r="U126" s="196"/>
      <c r="V126" s="238">
        <f t="shared" si="69"/>
        <v>318.95250000000004</v>
      </c>
      <c r="W126" s="227">
        <f t="shared" si="70"/>
        <v>2.0499999999999998</v>
      </c>
      <c r="X126" s="237"/>
      <c r="Y126" s="237">
        <v>1.7150000000000001</v>
      </c>
      <c r="Z126" s="237">
        <v>3.5000000000000003E-2</v>
      </c>
      <c r="AA126" s="237">
        <v>0.3</v>
      </c>
      <c r="AB126" s="237"/>
      <c r="AC126" s="227"/>
      <c r="AD126" s="239">
        <f t="shared" si="71"/>
        <v>0</v>
      </c>
      <c r="AE126" s="237"/>
      <c r="AF126" s="237"/>
      <c r="AG126" s="237"/>
      <c r="AH126" s="237"/>
      <c r="AI126" s="237"/>
      <c r="AJ126" s="239">
        <f t="shared" si="72"/>
        <v>0</v>
      </c>
      <c r="AK126" s="237"/>
      <c r="AL126" s="237"/>
      <c r="AM126" s="237"/>
      <c r="AN126" s="237"/>
      <c r="AO126" s="237"/>
      <c r="AP126" s="196">
        <v>405.26</v>
      </c>
      <c r="AQ126" s="334">
        <f t="shared" si="73"/>
        <v>1.1388888888888888</v>
      </c>
      <c r="AR126" s="207">
        <f t="shared" si="74"/>
        <v>0</v>
      </c>
      <c r="AS126" s="196"/>
      <c r="AT126" s="196"/>
    </row>
    <row r="127" spans="1:46" hidden="1">
      <c r="A127" s="233">
        <v>6</v>
      </c>
      <c r="B127" s="233" t="s">
        <v>259</v>
      </c>
      <c r="C127" s="214">
        <f t="shared" si="65"/>
        <v>1.33</v>
      </c>
      <c r="D127" s="233"/>
      <c r="E127" s="233">
        <v>0.8</v>
      </c>
      <c r="F127" s="245">
        <v>0.53</v>
      </c>
      <c r="G127" s="259"/>
      <c r="H127" s="196"/>
      <c r="I127" s="249">
        <f t="shared" si="66"/>
        <v>0.13</v>
      </c>
      <c r="J127" s="240">
        <f t="shared" si="67"/>
        <v>0</v>
      </c>
      <c r="K127" s="196"/>
      <c r="L127" s="196"/>
      <c r="M127" s="196"/>
      <c r="N127" s="196"/>
      <c r="O127" s="196"/>
      <c r="P127" s="240">
        <f t="shared" si="68"/>
        <v>0.13</v>
      </c>
      <c r="Q127" s="196">
        <v>0.13</v>
      </c>
      <c r="R127" s="196"/>
      <c r="S127" s="196"/>
      <c r="T127" s="196"/>
      <c r="U127" s="196"/>
      <c r="V127" s="238">
        <f t="shared" si="69"/>
        <v>207.08913999999999</v>
      </c>
      <c r="W127" s="227">
        <f t="shared" si="70"/>
        <v>1.6</v>
      </c>
      <c r="X127" s="237"/>
      <c r="Y127" s="237">
        <v>0.93799999999999994</v>
      </c>
      <c r="Z127" s="237">
        <v>0.66200000000000003</v>
      </c>
      <c r="AA127" s="237"/>
      <c r="AB127" s="237"/>
      <c r="AC127" s="227"/>
      <c r="AD127" s="239">
        <f t="shared" si="71"/>
        <v>0.33200000000000002</v>
      </c>
      <c r="AE127" s="237">
        <v>0.33200000000000002</v>
      </c>
      <c r="AF127" s="237"/>
      <c r="AG127" s="237"/>
      <c r="AH127" s="237"/>
      <c r="AI127" s="237"/>
      <c r="AJ127" s="239">
        <f t="shared" si="72"/>
        <v>0</v>
      </c>
      <c r="AK127" s="237"/>
      <c r="AL127" s="237"/>
      <c r="AM127" s="237"/>
      <c r="AN127" s="237"/>
      <c r="AO127" s="237"/>
      <c r="AP127" s="196">
        <v>82.3</v>
      </c>
      <c r="AQ127" s="334">
        <f t="shared" si="73"/>
        <v>1.2030075187969924</v>
      </c>
      <c r="AR127" s="207">
        <f t="shared" si="74"/>
        <v>0</v>
      </c>
      <c r="AS127" s="196"/>
      <c r="AT127" s="196"/>
    </row>
    <row r="128" spans="1:46" hidden="1">
      <c r="A128" s="233">
        <v>7</v>
      </c>
      <c r="B128" s="233" t="s">
        <v>260</v>
      </c>
      <c r="C128" s="214">
        <f t="shared" si="65"/>
        <v>2.5</v>
      </c>
      <c r="D128" s="233">
        <v>0</v>
      </c>
      <c r="E128" s="233">
        <v>2</v>
      </c>
      <c r="F128" s="245">
        <v>0</v>
      </c>
      <c r="G128" s="259">
        <v>0.5</v>
      </c>
      <c r="H128" s="196"/>
      <c r="I128" s="249">
        <f t="shared" si="66"/>
        <v>1.9950000000000001</v>
      </c>
      <c r="J128" s="240">
        <f t="shared" si="67"/>
        <v>1.9950000000000001</v>
      </c>
      <c r="K128" s="196">
        <v>1.9950000000000001</v>
      </c>
      <c r="L128" s="196"/>
      <c r="M128" s="196"/>
      <c r="N128" s="196"/>
      <c r="O128" s="196"/>
      <c r="P128" s="240">
        <f t="shared" si="68"/>
        <v>0</v>
      </c>
      <c r="Q128" s="196"/>
      <c r="R128" s="196"/>
      <c r="S128" s="196"/>
      <c r="T128" s="196"/>
      <c r="U128" s="196"/>
      <c r="V128" s="238">
        <f t="shared" si="69"/>
        <v>574.01872500000002</v>
      </c>
      <c r="W128" s="227">
        <f t="shared" si="70"/>
        <v>4.0650000000000004</v>
      </c>
      <c r="X128" s="237"/>
      <c r="Y128" s="237">
        <v>3.4740000000000002</v>
      </c>
      <c r="Z128" s="237"/>
      <c r="AA128" s="237">
        <v>0.59099999999999997</v>
      </c>
      <c r="AB128" s="237"/>
      <c r="AC128" s="227">
        <v>0.32700000000000001</v>
      </c>
      <c r="AD128" s="239">
        <f t="shared" si="71"/>
        <v>0.14000000000000001</v>
      </c>
      <c r="AE128" s="237">
        <v>0.14000000000000001</v>
      </c>
      <c r="AF128" s="237"/>
      <c r="AG128" s="237"/>
      <c r="AH128" s="237"/>
      <c r="AI128" s="237"/>
      <c r="AJ128" s="239">
        <f t="shared" si="72"/>
        <v>0</v>
      </c>
      <c r="AK128" s="237"/>
      <c r="AL128" s="237"/>
      <c r="AM128" s="237"/>
      <c r="AN128" s="237"/>
      <c r="AO128" s="237"/>
      <c r="AP128" s="196">
        <v>679</v>
      </c>
      <c r="AQ128" s="334">
        <f t="shared" si="73"/>
        <v>1.6260000000000001</v>
      </c>
      <c r="AR128" s="207">
        <f t="shared" si="74"/>
        <v>0.16390977443609023</v>
      </c>
      <c r="AS128" s="196"/>
      <c r="AT128" s="196"/>
    </row>
    <row r="129" spans="1:46" hidden="1">
      <c r="A129" s="233">
        <v>8</v>
      </c>
      <c r="B129" s="233" t="s">
        <v>261</v>
      </c>
      <c r="C129" s="214">
        <f t="shared" si="65"/>
        <v>4.5</v>
      </c>
      <c r="D129" s="233"/>
      <c r="E129" s="233">
        <v>2</v>
      </c>
      <c r="F129" s="245">
        <v>1.5</v>
      </c>
      <c r="G129" s="259">
        <v>1</v>
      </c>
      <c r="H129" s="196"/>
      <c r="I129" s="249">
        <f t="shared" si="66"/>
        <v>0</v>
      </c>
      <c r="J129" s="240">
        <f t="shared" si="67"/>
        <v>0</v>
      </c>
      <c r="K129" s="196"/>
      <c r="L129" s="196"/>
      <c r="M129" s="196"/>
      <c r="N129" s="196"/>
      <c r="O129" s="196"/>
      <c r="P129" s="240">
        <f t="shared" si="68"/>
        <v>0</v>
      </c>
      <c r="Q129" s="196"/>
      <c r="R129" s="196"/>
      <c r="S129" s="196"/>
      <c r="T129" s="196"/>
      <c r="U129" s="196"/>
      <c r="V129" s="238">
        <f t="shared" si="69"/>
        <v>625.38</v>
      </c>
      <c r="W129" s="227">
        <f t="shared" si="70"/>
        <v>3.49</v>
      </c>
      <c r="X129" s="237"/>
      <c r="Y129" s="237">
        <v>1.8</v>
      </c>
      <c r="Z129" s="237">
        <v>1.36</v>
      </c>
      <c r="AA129" s="237">
        <v>0.33</v>
      </c>
      <c r="AB129" s="237"/>
      <c r="AC129" s="227"/>
      <c r="AD129" s="239">
        <f t="shared" si="71"/>
        <v>0</v>
      </c>
      <c r="AE129" s="237">
        <v>0</v>
      </c>
      <c r="AF129" s="237">
        <v>0</v>
      </c>
      <c r="AG129" s="237">
        <v>0</v>
      </c>
      <c r="AH129" s="237">
        <v>0</v>
      </c>
      <c r="AI129" s="237">
        <v>0</v>
      </c>
      <c r="AJ129" s="239">
        <f t="shared" si="72"/>
        <v>0</v>
      </c>
      <c r="AK129" s="237">
        <v>0</v>
      </c>
      <c r="AL129" s="237">
        <v>0</v>
      </c>
      <c r="AM129" s="237">
        <v>0</v>
      </c>
      <c r="AN129" s="237">
        <v>0</v>
      </c>
      <c r="AO129" s="237">
        <v>0</v>
      </c>
      <c r="AP129" s="196">
        <v>523</v>
      </c>
      <c r="AQ129" s="334">
        <f t="shared" si="73"/>
        <v>0.77555555555555555</v>
      </c>
      <c r="AR129" s="207"/>
      <c r="AS129" s="196"/>
      <c r="AT129" s="196"/>
    </row>
    <row r="130" spans="1:46" hidden="1">
      <c r="A130" s="233">
        <v>9</v>
      </c>
      <c r="B130" s="233" t="s">
        <v>262</v>
      </c>
      <c r="C130" s="214">
        <f t="shared" si="65"/>
        <v>1</v>
      </c>
      <c r="D130" s="233">
        <v>0</v>
      </c>
      <c r="E130" s="233">
        <v>0</v>
      </c>
      <c r="F130" s="245">
        <v>0</v>
      </c>
      <c r="G130" s="259">
        <v>1</v>
      </c>
      <c r="H130" s="196"/>
      <c r="I130" s="249">
        <f t="shared" si="66"/>
        <v>1.7</v>
      </c>
      <c r="J130" s="240">
        <f t="shared" si="67"/>
        <v>0.7</v>
      </c>
      <c r="K130" s="196">
        <v>0.7</v>
      </c>
      <c r="L130" s="196"/>
      <c r="M130" s="196"/>
      <c r="N130" s="196"/>
      <c r="O130" s="196"/>
      <c r="P130" s="240">
        <f t="shared" si="68"/>
        <v>1</v>
      </c>
      <c r="Q130" s="196">
        <v>1</v>
      </c>
      <c r="R130" s="196"/>
      <c r="S130" s="196"/>
      <c r="T130" s="196"/>
      <c r="U130" s="196"/>
      <c r="V130" s="238">
        <f t="shared" si="69"/>
        <v>244.75650000000002</v>
      </c>
      <c r="W130" s="227">
        <f t="shared" si="70"/>
        <v>0.51200000000000001</v>
      </c>
      <c r="X130" s="237"/>
      <c r="Y130" s="237">
        <v>0.12</v>
      </c>
      <c r="Z130" s="237">
        <v>3.5000000000000003E-2</v>
      </c>
      <c r="AA130" s="237">
        <v>0.35699999999999998</v>
      </c>
      <c r="AB130" s="237"/>
      <c r="AC130" s="227"/>
      <c r="AD130" s="239">
        <f t="shared" si="71"/>
        <v>0.16500000000000001</v>
      </c>
      <c r="AE130" s="237">
        <v>0.16500000000000001</v>
      </c>
      <c r="AF130" s="237"/>
      <c r="AG130" s="237"/>
      <c r="AH130" s="237"/>
      <c r="AI130" s="237"/>
      <c r="AJ130" s="239">
        <f t="shared" si="72"/>
        <v>2.1000000000000001E-2</v>
      </c>
      <c r="AK130" s="237">
        <v>2.1000000000000001E-2</v>
      </c>
      <c r="AL130" s="237"/>
      <c r="AM130" s="237"/>
      <c r="AN130" s="237"/>
      <c r="AO130" s="237"/>
      <c r="AP130" s="196">
        <v>78</v>
      </c>
      <c r="AQ130" s="334">
        <f t="shared" si="73"/>
        <v>0.51200000000000001</v>
      </c>
      <c r="AR130" s="207">
        <f t="shared" si="74"/>
        <v>0</v>
      </c>
      <c r="AS130" s="196"/>
      <c r="AT130" s="196"/>
    </row>
    <row r="131" spans="1:46" hidden="1">
      <c r="A131" s="233">
        <v>10</v>
      </c>
      <c r="B131" s="233" t="s">
        <v>263</v>
      </c>
      <c r="C131" s="214">
        <f t="shared" si="65"/>
        <v>1.7</v>
      </c>
      <c r="D131" s="233"/>
      <c r="E131" s="233">
        <v>0.7</v>
      </c>
      <c r="F131" s="245">
        <v>1</v>
      </c>
      <c r="G131" s="259"/>
      <c r="H131" s="196"/>
      <c r="I131" s="249">
        <f t="shared" si="66"/>
        <v>0.5</v>
      </c>
      <c r="J131" s="240">
        <f t="shared" si="67"/>
        <v>0</v>
      </c>
      <c r="K131" s="196"/>
      <c r="L131" s="196"/>
      <c r="M131" s="196"/>
      <c r="N131" s="196"/>
      <c r="O131" s="196"/>
      <c r="P131" s="240">
        <f t="shared" si="68"/>
        <v>0.5</v>
      </c>
      <c r="Q131" s="196">
        <v>0.5</v>
      </c>
      <c r="R131" s="196"/>
      <c r="S131" s="196"/>
      <c r="T131" s="196"/>
      <c r="U131" s="196"/>
      <c r="V131" s="238">
        <f t="shared" si="69"/>
        <v>269.17699999999996</v>
      </c>
      <c r="W131" s="227">
        <f t="shared" si="70"/>
        <v>1.79</v>
      </c>
      <c r="X131" s="237"/>
      <c r="Y131" s="237">
        <v>0.77</v>
      </c>
      <c r="Z131" s="237">
        <v>1.02</v>
      </c>
      <c r="AA131" s="237"/>
      <c r="AB131" s="237"/>
      <c r="AC131" s="227">
        <v>0.7</v>
      </c>
      <c r="AD131" s="239">
        <f t="shared" si="71"/>
        <v>0.35</v>
      </c>
      <c r="AE131" s="237">
        <v>0.35</v>
      </c>
      <c r="AF131" s="237"/>
      <c r="AG131" s="237"/>
      <c r="AH131" s="237"/>
      <c r="AI131" s="237"/>
      <c r="AJ131" s="239">
        <f t="shared" si="72"/>
        <v>0.35</v>
      </c>
      <c r="AK131" s="237">
        <v>0.35</v>
      </c>
      <c r="AL131" s="237"/>
      <c r="AM131" s="237"/>
      <c r="AN131" s="237"/>
      <c r="AO131" s="237"/>
      <c r="AP131" s="196">
        <v>269</v>
      </c>
      <c r="AQ131" s="334">
        <f t="shared" si="73"/>
        <v>1.0529411764705883</v>
      </c>
      <c r="AR131" s="207">
        <f t="shared" si="74"/>
        <v>1.4</v>
      </c>
      <c r="AS131" s="196"/>
      <c r="AT131" s="196"/>
    </row>
    <row r="132" spans="1:46" hidden="1">
      <c r="A132" s="196"/>
      <c r="B132" s="241" t="s">
        <v>1</v>
      </c>
      <c r="C132" s="227">
        <f t="shared" ref="C132:AP132" si="75">SUM(C115:C131)</f>
        <v>36.500000000000007</v>
      </c>
      <c r="D132" s="227">
        <f t="shared" si="75"/>
        <v>0</v>
      </c>
      <c r="E132" s="227">
        <f t="shared" si="75"/>
        <v>24.000000000000004</v>
      </c>
      <c r="F132" s="227">
        <f t="shared" si="75"/>
        <v>4.5</v>
      </c>
      <c r="G132" s="227">
        <f t="shared" si="75"/>
        <v>8</v>
      </c>
      <c r="H132" s="227">
        <f t="shared" si="75"/>
        <v>0</v>
      </c>
      <c r="I132" s="227">
        <f t="shared" si="75"/>
        <v>30.763000000000002</v>
      </c>
      <c r="J132" s="227">
        <f t="shared" si="75"/>
        <v>7.1930000000000005</v>
      </c>
      <c r="K132" s="227">
        <f t="shared" si="75"/>
        <v>7.1930000000000005</v>
      </c>
      <c r="L132" s="227">
        <f t="shared" si="75"/>
        <v>0</v>
      </c>
      <c r="M132" s="227">
        <f t="shared" si="75"/>
        <v>0</v>
      </c>
      <c r="N132" s="227">
        <f t="shared" si="75"/>
        <v>0</v>
      </c>
      <c r="O132" s="227">
        <f t="shared" si="75"/>
        <v>0</v>
      </c>
      <c r="P132" s="227">
        <f t="shared" si="75"/>
        <v>23.57</v>
      </c>
      <c r="Q132" s="227">
        <f t="shared" si="75"/>
        <v>23.57</v>
      </c>
      <c r="R132" s="227">
        <f t="shared" si="75"/>
        <v>0</v>
      </c>
      <c r="S132" s="227">
        <f t="shared" si="75"/>
        <v>0</v>
      </c>
      <c r="T132" s="227">
        <f t="shared" si="75"/>
        <v>0</v>
      </c>
      <c r="U132" s="227">
        <f t="shared" si="75"/>
        <v>0</v>
      </c>
      <c r="V132" s="227">
        <f t="shared" si="75"/>
        <v>7882.4412749999983</v>
      </c>
      <c r="W132" s="227">
        <f t="shared" si="75"/>
        <v>30.967000000000006</v>
      </c>
      <c r="X132" s="227">
        <f t="shared" si="75"/>
        <v>0</v>
      </c>
      <c r="Y132" s="227">
        <f t="shared" si="75"/>
        <v>20.754999999999999</v>
      </c>
      <c r="Z132" s="227">
        <f t="shared" si="75"/>
        <v>5.3339999999999996</v>
      </c>
      <c r="AA132" s="227">
        <f t="shared" si="75"/>
        <v>4.8780000000000001</v>
      </c>
      <c r="AB132" s="227">
        <f t="shared" si="75"/>
        <v>0</v>
      </c>
      <c r="AC132" s="227">
        <f t="shared" si="75"/>
        <v>17.427</v>
      </c>
      <c r="AD132" s="227">
        <f t="shared" si="75"/>
        <v>5.8669999999999982</v>
      </c>
      <c r="AE132" s="227">
        <f t="shared" si="75"/>
        <v>5.7419999999999982</v>
      </c>
      <c r="AF132" s="227">
        <f t="shared" si="75"/>
        <v>0</v>
      </c>
      <c r="AG132" s="227">
        <f t="shared" si="75"/>
        <v>0.125</v>
      </c>
      <c r="AH132" s="227">
        <f t="shared" si="75"/>
        <v>0</v>
      </c>
      <c r="AI132" s="227">
        <f t="shared" si="75"/>
        <v>0</v>
      </c>
      <c r="AJ132" s="227">
        <f t="shared" si="75"/>
        <v>12.885999999999999</v>
      </c>
      <c r="AK132" s="227">
        <f t="shared" si="75"/>
        <v>12.186</v>
      </c>
      <c r="AL132" s="227">
        <f t="shared" si="75"/>
        <v>0</v>
      </c>
      <c r="AM132" s="227">
        <f t="shared" si="75"/>
        <v>0.7</v>
      </c>
      <c r="AN132" s="227">
        <f t="shared" si="75"/>
        <v>0</v>
      </c>
      <c r="AO132" s="227">
        <f t="shared" si="75"/>
        <v>0</v>
      </c>
      <c r="AP132" s="227">
        <f t="shared" si="75"/>
        <v>5443.46</v>
      </c>
      <c r="AQ132" s="332">
        <f t="shared" si="73"/>
        <v>0.84841095890410956</v>
      </c>
      <c r="AR132" s="226">
        <f t="shared" si="74"/>
        <v>0.56649221467347133</v>
      </c>
      <c r="AS132" s="227">
        <f>SUM(AS115:AS131)</f>
        <v>0</v>
      </c>
      <c r="AT132" s="227">
        <f>SUM(AT115:AT131)</f>
        <v>0</v>
      </c>
    </row>
    <row r="133" spans="1:46" hidden="1"/>
    <row r="134" spans="1:46" hidden="1">
      <c r="B134" s="538" t="s">
        <v>190</v>
      </c>
      <c r="C134" s="539"/>
      <c r="D134" s="539"/>
      <c r="E134" s="539"/>
      <c r="F134" s="539"/>
      <c r="V134" s="173" t="s">
        <v>191</v>
      </c>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331"/>
    </row>
    <row r="135" spans="1:46" hidden="1">
      <c r="B135" s="538" t="s">
        <v>264</v>
      </c>
      <c r="C135" s="539"/>
      <c r="D135" s="539"/>
      <c r="E135" s="539"/>
      <c r="F135" s="539"/>
      <c r="V135" s="173" t="s">
        <v>193</v>
      </c>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331"/>
    </row>
    <row r="136" spans="1:46" hidden="1">
      <c r="B136" s="172"/>
      <c r="C136" s="172"/>
      <c r="D136" s="172"/>
      <c r="E136" s="172"/>
      <c r="F136" s="172"/>
      <c r="V136" s="173"/>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331"/>
    </row>
    <row r="137" spans="1:46" hidden="1">
      <c r="A137" s="542" t="str">
        <f>A107</f>
        <v>Biểu 5: KẾT QUẢ THỰC HIỆN KẾ HOẠCH LÀM ĐƯỜNG GTNT, RÃNH THOÁT NƯỚC THEO CƠ CHẾ HỖ TRỢ XI MĂNG ĐẾN NGÀY 19/12/2016</v>
      </c>
      <c r="B137" s="542"/>
      <c r="C137" s="542"/>
      <c r="D137" s="542"/>
      <c r="E137" s="542"/>
      <c r="F137" s="542"/>
      <c r="G137" s="542"/>
      <c r="H137" s="542"/>
      <c r="I137" s="542"/>
      <c r="J137" s="542"/>
      <c r="K137" s="542"/>
      <c r="L137" s="542"/>
      <c r="M137" s="542"/>
      <c r="N137" s="542"/>
      <c r="O137" s="542"/>
      <c r="P137" s="542"/>
      <c r="Q137" s="542"/>
      <c r="R137" s="542"/>
      <c r="S137" s="542"/>
      <c r="T137" s="542"/>
      <c r="U137" s="542"/>
      <c r="V137" s="542"/>
      <c r="W137" s="542"/>
      <c r="X137" s="542"/>
      <c r="Y137" s="542"/>
      <c r="Z137" s="542"/>
      <c r="AA137" s="542"/>
      <c r="AB137" s="542"/>
      <c r="AC137" s="542"/>
      <c r="AD137" s="542"/>
      <c r="AE137" s="542"/>
      <c r="AF137" s="542"/>
      <c r="AG137" s="542"/>
      <c r="AH137" s="542"/>
      <c r="AI137" s="542"/>
      <c r="AJ137" s="542"/>
      <c r="AK137" s="542"/>
      <c r="AL137" s="542"/>
      <c r="AM137" s="542"/>
      <c r="AN137" s="542"/>
      <c r="AO137" s="542"/>
      <c r="AP137" s="542"/>
      <c r="AQ137" s="542"/>
      <c r="AR137" s="542"/>
      <c r="AS137" s="542"/>
      <c r="AT137" s="542"/>
    </row>
    <row r="138" spans="1:46" hidden="1">
      <c r="A138" s="543"/>
      <c r="B138" s="543"/>
      <c r="C138" s="543"/>
      <c r="D138" s="543"/>
      <c r="E138" s="543"/>
      <c r="F138" s="543"/>
      <c r="G138" s="543"/>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543"/>
      <c r="AM138" s="543"/>
      <c r="AN138" s="543"/>
      <c r="AO138" s="543"/>
      <c r="AP138" s="543"/>
      <c r="AQ138" s="543"/>
      <c r="AR138" s="543"/>
      <c r="AS138" s="543"/>
      <c r="AT138" s="543"/>
    </row>
    <row r="139" spans="1:46" ht="14.25" hidden="1" customHeight="1">
      <c r="A139" s="544" t="s">
        <v>0</v>
      </c>
      <c r="B139" s="533" t="s">
        <v>161</v>
      </c>
      <c r="C139" s="546" t="s">
        <v>162</v>
      </c>
      <c r="D139" s="546"/>
      <c r="E139" s="546"/>
      <c r="F139" s="546"/>
      <c r="G139" s="546"/>
      <c r="H139" s="546"/>
      <c r="I139" s="546"/>
      <c r="J139" s="546"/>
      <c r="K139" s="546"/>
      <c r="L139" s="546"/>
      <c r="M139" s="546"/>
      <c r="N139" s="546"/>
      <c r="O139" s="546"/>
      <c r="P139" s="546"/>
      <c r="Q139" s="546"/>
      <c r="R139" s="546"/>
      <c r="S139" s="546"/>
      <c r="T139" s="546"/>
      <c r="U139" s="546"/>
      <c r="V139" s="546"/>
      <c r="W139" s="547" t="s">
        <v>163</v>
      </c>
      <c r="X139" s="547"/>
      <c r="Y139" s="547"/>
      <c r="Z139" s="547"/>
      <c r="AA139" s="547"/>
      <c r="AB139" s="547"/>
      <c r="AC139" s="547"/>
      <c r="AD139" s="547"/>
      <c r="AE139" s="547"/>
      <c r="AF139" s="547"/>
      <c r="AG139" s="547"/>
      <c r="AH139" s="547"/>
      <c r="AI139" s="547"/>
      <c r="AJ139" s="547"/>
      <c r="AK139" s="547"/>
      <c r="AL139" s="547"/>
      <c r="AM139" s="547"/>
      <c r="AN139" s="547"/>
      <c r="AO139" s="547"/>
      <c r="AP139" s="547"/>
      <c r="AQ139" s="547" t="s">
        <v>164</v>
      </c>
      <c r="AR139" s="547"/>
      <c r="AS139" s="547" t="s">
        <v>165</v>
      </c>
      <c r="AT139" s="547"/>
    </row>
    <row r="140" spans="1:46" ht="15" hidden="1" customHeight="1">
      <c r="A140" s="545"/>
      <c r="B140" s="534"/>
      <c r="C140" s="533" t="s">
        <v>166</v>
      </c>
      <c r="D140" s="536" t="s">
        <v>167</v>
      </c>
      <c r="E140" s="536"/>
      <c r="F140" s="536"/>
      <c r="G140" s="536"/>
      <c r="H140" s="536"/>
      <c r="I140" s="533" t="s">
        <v>168</v>
      </c>
      <c r="J140" s="537" t="s">
        <v>167</v>
      </c>
      <c r="K140" s="537"/>
      <c r="L140" s="537"/>
      <c r="M140" s="537"/>
      <c r="N140" s="537"/>
      <c r="O140" s="537"/>
      <c r="P140" s="537"/>
      <c r="Q140" s="537"/>
      <c r="R140" s="537"/>
      <c r="S140" s="537"/>
      <c r="T140" s="537"/>
      <c r="U140" s="537"/>
      <c r="V140" s="552" t="s">
        <v>169</v>
      </c>
      <c r="W140" s="533" t="s">
        <v>170</v>
      </c>
      <c r="X140" s="555" t="s">
        <v>167</v>
      </c>
      <c r="Y140" s="555"/>
      <c r="Z140" s="555"/>
      <c r="AA140" s="555"/>
      <c r="AB140" s="555"/>
      <c r="AC140" s="533" t="s">
        <v>168</v>
      </c>
      <c r="AD140" s="537" t="s">
        <v>167</v>
      </c>
      <c r="AE140" s="537"/>
      <c r="AF140" s="537"/>
      <c r="AG140" s="537"/>
      <c r="AH140" s="537"/>
      <c r="AI140" s="537"/>
      <c r="AJ140" s="537"/>
      <c r="AK140" s="537"/>
      <c r="AL140" s="537"/>
      <c r="AM140" s="537"/>
      <c r="AN140" s="537"/>
      <c r="AO140" s="537"/>
      <c r="AP140" s="552" t="s">
        <v>171</v>
      </c>
      <c r="AQ140" s="548" t="s">
        <v>172</v>
      </c>
      <c r="AR140" s="548" t="s">
        <v>173</v>
      </c>
      <c r="AS140" s="548" t="s">
        <v>170</v>
      </c>
      <c r="AT140" s="548" t="s">
        <v>168</v>
      </c>
    </row>
    <row r="141" spans="1:46" ht="15" hidden="1" customHeight="1">
      <c r="A141" s="545"/>
      <c r="B141" s="534"/>
      <c r="C141" s="534"/>
      <c r="D141" s="552" t="s">
        <v>174</v>
      </c>
      <c r="E141" s="552" t="s">
        <v>175</v>
      </c>
      <c r="F141" s="552" t="s">
        <v>176</v>
      </c>
      <c r="G141" s="552" t="s">
        <v>177</v>
      </c>
      <c r="H141" s="552" t="s">
        <v>178</v>
      </c>
      <c r="I141" s="534"/>
      <c r="J141" s="537" t="s">
        <v>179</v>
      </c>
      <c r="K141" s="537"/>
      <c r="L141" s="537"/>
      <c r="M141" s="537"/>
      <c r="N141" s="537"/>
      <c r="O141" s="537"/>
      <c r="P141" s="537" t="s">
        <v>180</v>
      </c>
      <c r="Q141" s="537"/>
      <c r="R141" s="537"/>
      <c r="S141" s="537"/>
      <c r="T141" s="537"/>
      <c r="U141" s="537"/>
      <c r="V141" s="553"/>
      <c r="W141" s="534"/>
      <c r="X141" s="552" t="s">
        <v>174</v>
      </c>
      <c r="Y141" s="552" t="s">
        <v>175</v>
      </c>
      <c r="Z141" s="552" t="s">
        <v>176</v>
      </c>
      <c r="AA141" s="552" t="s">
        <v>177</v>
      </c>
      <c r="AB141" s="552" t="s">
        <v>178</v>
      </c>
      <c r="AC141" s="534"/>
      <c r="AD141" s="537" t="s">
        <v>179</v>
      </c>
      <c r="AE141" s="537"/>
      <c r="AF141" s="537"/>
      <c r="AG141" s="537"/>
      <c r="AH141" s="537"/>
      <c r="AI141" s="537"/>
      <c r="AJ141" s="537" t="s">
        <v>180</v>
      </c>
      <c r="AK141" s="537"/>
      <c r="AL141" s="537"/>
      <c r="AM141" s="537"/>
      <c r="AN141" s="537"/>
      <c r="AO141" s="537"/>
      <c r="AP141" s="553"/>
      <c r="AQ141" s="549"/>
      <c r="AR141" s="549"/>
      <c r="AS141" s="549"/>
      <c r="AT141" s="549"/>
    </row>
    <row r="142" spans="1:46" ht="15.5" hidden="1">
      <c r="A142" s="179"/>
      <c r="B142" s="534"/>
      <c r="C142" s="534"/>
      <c r="D142" s="553"/>
      <c r="E142" s="553"/>
      <c r="F142" s="553"/>
      <c r="G142" s="553"/>
      <c r="H142" s="553"/>
      <c r="I142" s="534"/>
      <c r="J142" s="556" t="s">
        <v>1</v>
      </c>
      <c r="K142" s="551" t="s">
        <v>181</v>
      </c>
      <c r="L142" s="551"/>
      <c r="M142" s="551" t="s">
        <v>182</v>
      </c>
      <c r="N142" s="551"/>
      <c r="O142" s="551" t="s">
        <v>183</v>
      </c>
      <c r="P142" s="556" t="s">
        <v>1</v>
      </c>
      <c r="Q142" s="551" t="s">
        <v>181</v>
      </c>
      <c r="R142" s="551"/>
      <c r="S142" s="551" t="s">
        <v>182</v>
      </c>
      <c r="T142" s="551"/>
      <c r="U142" s="551" t="s">
        <v>183</v>
      </c>
      <c r="V142" s="553"/>
      <c r="W142" s="534"/>
      <c r="X142" s="553"/>
      <c r="Y142" s="553"/>
      <c r="Z142" s="553"/>
      <c r="AA142" s="553"/>
      <c r="AB142" s="553"/>
      <c r="AC142" s="534"/>
      <c r="AD142" s="556" t="s">
        <v>1</v>
      </c>
      <c r="AE142" s="551" t="s">
        <v>181</v>
      </c>
      <c r="AF142" s="551"/>
      <c r="AG142" s="551" t="s">
        <v>182</v>
      </c>
      <c r="AH142" s="551"/>
      <c r="AI142" s="551" t="s">
        <v>183</v>
      </c>
      <c r="AJ142" s="556" t="s">
        <v>1</v>
      </c>
      <c r="AK142" s="551" t="s">
        <v>181</v>
      </c>
      <c r="AL142" s="551"/>
      <c r="AM142" s="551" t="s">
        <v>182</v>
      </c>
      <c r="AN142" s="551"/>
      <c r="AO142" s="551" t="s">
        <v>183</v>
      </c>
      <c r="AP142" s="553"/>
      <c r="AQ142" s="549"/>
      <c r="AR142" s="549"/>
      <c r="AS142" s="549"/>
      <c r="AT142" s="549"/>
    </row>
    <row r="143" spans="1:46" ht="90" hidden="1" customHeight="1">
      <c r="A143" s="179"/>
      <c r="B143" s="535"/>
      <c r="C143" s="535"/>
      <c r="D143" s="554"/>
      <c r="E143" s="554"/>
      <c r="F143" s="554"/>
      <c r="G143" s="554"/>
      <c r="H143" s="554"/>
      <c r="I143" s="535"/>
      <c r="J143" s="557"/>
      <c r="K143" s="186" t="s">
        <v>184</v>
      </c>
      <c r="L143" s="186" t="s">
        <v>185</v>
      </c>
      <c r="M143" s="186" t="s">
        <v>184</v>
      </c>
      <c r="N143" s="186" t="s">
        <v>185</v>
      </c>
      <c r="O143" s="551"/>
      <c r="P143" s="557"/>
      <c r="Q143" s="186" t="s">
        <v>184</v>
      </c>
      <c r="R143" s="186" t="s">
        <v>185</v>
      </c>
      <c r="S143" s="186" t="s">
        <v>184</v>
      </c>
      <c r="T143" s="186" t="s">
        <v>185</v>
      </c>
      <c r="U143" s="551"/>
      <c r="V143" s="554"/>
      <c r="W143" s="535"/>
      <c r="X143" s="554"/>
      <c r="Y143" s="554"/>
      <c r="Z143" s="554"/>
      <c r="AA143" s="554"/>
      <c r="AB143" s="554"/>
      <c r="AC143" s="535"/>
      <c r="AD143" s="557"/>
      <c r="AE143" s="186" t="s">
        <v>184</v>
      </c>
      <c r="AF143" s="186" t="s">
        <v>185</v>
      </c>
      <c r="AG143" s="186" t="s">
        <v>184</v>
      </c>
      <c r="AH143" s="186" t="s">
        <v>185</v>
      </c>
      <c r="AI143" s="551"/>
      <c r="AJ143" s="557"/>
      <c r="AK143" s="186" t="s">
        <v>184</v>
      </c>
      <c r="AL143" s="186" t="s">
        <v>185</v>
      </c>
      <c r="AM143" s="186" t="s">
        <v>184</v>
      </c>
      <c r="AN143" s="186" t="s">
        <v>185</v>
      </c>
      <c r="AO143" s="551"/>
      <c r="AP143" s="554"/>
      <c r="AQ143" s="550"/>
      <c r="AR143" s="550"/>
      <c r="AS143" s="550"/>
      <c r="AT143" s="550"/>
    </row>
    <row r="144" spans="1:46" hidden="1">
      <c r="A144" s="177" t="s">
        <v>25</v>
      </c>
      <c r="B144" s="178" t="s">
        <v>215</v>
      </c>
      <c r="C144" s="196"/>
      <c r="D144" s="196"/>
      <c r="E144" s="196"/>
      <c r="F144" s="196"/>
      <c r="G144" s="196"/>
      <c r="H144" s="196"/>
      <c r="I144" s="196"/>
      <c r="J144" s="196"/>
      <c r="K144" s="196"/>
      <c r="L144" s="196"/>
      <c r="M144" s="196"/>
      <c r="N144" s="196"/>
      <c r="O144" s="196"/>
      <c r="P144" s="196"/>
      <c r="Q144" s="196"/>
      <c r="R144" s="262"/>
      <c r="S144" s="196"/>
      <c r="T144" s="196"/>
      <c r="U144" s="196"/>
      <c r="V144" s="238"/>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245"/>
      <c r="AR144" s="196"/>
      <c r="AS144" s="196"/>
      <c r="AT144" s="196"/>
    </row>
    <row r="145" spans="1:46" hidden="1">
      <c r="A145" s="244">
        <v>1</v>
      </c>
      <c r="B145" s="263" t="s">
        <v>265</v>
      </c>
      <c r="C145" s="263">
        <f t="shared" ref="C145:C174" si="76">SUM(D145:H145)</f>
        <v>8.745000000000001</v>
      </c>
      <c r="D145" s="264"/>
      <c r="E145" s="265">
        <v>3.65</v>
      </c>
      <c r="F145" s="266">
        <v>1.925</v>
      </c>
      <c r="G145" s="264">
        <v>3.17</v>
      </c>
      <c r="H145" s="263"/>
      <c r="I145" s="249">
        <f t="shared" ref="I145:I174" si="77">J145+P145</f>
        <v>2.4000000000000004</v>
      </c>
      <c r="J145" s="240">
        <f t="shared" ref="J145:J174" si="78">SUM(K145:O145)</f>
        <v>1.06</v>
      </c>
      <c r="K145" s="196"/>
      <c r="L145" s="196">
        <v>1.06</v>
      </c>
      <c r="M145" s="196"/>
      <c r="N145" s="196"/>
      <c r="O145" s="196"/>
      <c r="P145" s="240">
        <f t="shared" ref="P145:P174" si="79">SUM(Q145:U145)</f>
        <v>1.34</v>
      </c>
      <c r="Q145" s="196"/>
      <c r="R145" s="262">
        <v>1.34</v>
      </c>
      <c r="S145" s="196"/>
      <c r="T145" s="196"/>
      <c r="U145" s="196"/>
      <c r="V145" s="238">
        <f t="shared" ref="V145:V174" si="80">D145*194.67+E145*173.04+F145*111.72+G145*111.72+H145*127.68+K145*86.255+L145*71.648+M145*84.489+N145*58.258+O145*53.065+Q145*72.658+R145*60.9+S145*74.716+T145*50.578+U145*46.62</f>
        <v>1358.3622800000001</v>
      </c>
      <c r="W145" s="227">
        <f t="shared" ref="W145:W174" si="81">SUM(X145:AB145)</f>
        <v>6.4480000000000004</v>
      </c>
      <c r="X145" s="237"/>
      <c r="Y145" s="237">
        <v>3.7930000000000001</v>
      </c>
      <c r="Z145" s="237">
        <v>2.6549999999999998</v>
      </c>
      <c r="AA145" s="237"/>
      <c r="AB145" s="237"/>
      <c r="AC145" s="227">
        <f t="shared" ref="AC145:AC174" si="82">AD145+AJ145</f>
        <v>0.11799999999999999</v>
      </c>
      <c r="AD145" s="239">
        <f t="shared" ref="AD145:AD174" si="83">SUM(AE145:AI145)</f>
        <v>0.11799999999999999</v>
      </c>
      <c r="AE145" s="237"/>
      <c r="AF145" s="237">
        <v>0.11799999999999999</v>
      </c>
      <c r="AG145" s="237"/>
      <c r="AH145" s="237"/>
      <c r="AI145" s="237"/>
      <c r="AJ145" s="239">
        <f t="shared" ref="AJ145:AJ174" si="84">SUM(AK145:AO145)</f>
        <v>0</v>
      </c>
      <c r="AK145" s="237"/>
      <c r="AL145" s="237"/>
      <c r="AM145" s="237"/>
      <c r="AN145" s="237"/>
      <c r="AO145" s="237"/>
      <c r="AP145" s="196">
        <v>732</v>
      </c>
      <c r="AQ145" s="334">
        <f t="shared" ref="AQ145:AQ174" si="85">W145/C145</f>
        <v>0.73733562035448819</v>
      </c>
      <c r="AR145" s="207">
        <f>AC145/I145</f>
        <v>4.9166666666666657E-2</v>
      </c>
      <c r="AS145" s="196"/>
      <c r="AT145" s="196"/>
    </row>
    <row r="146" spans="1:46" hidden="1">
      <c r="A146" s="244">
        <v>2</v>
      </c>
      <c r="B146" s="263" t="s">
        <v>266</v>
      </c>
      <c r="C146" s="263">
        <f t="shared" si="76"/>
        <v>1</v>
      </c>
      <c r="D146" s="264"/>
      <c r="E146" s="264">
        <v>0.5</v>
      </c>
      <c r="F146" s="266">
        <v>0.5</v>
      </c>
      <c r="G146" s="264"/>
      <c r="H146" s="263"/>
      <c r="I146" s="249">
        <f t="shared" si="77"/>
        <v>4.4529999999999994</v>
      </c>
      <c r="J146" s="240">
        <f t="shared" si="78"/>
        <v>0</v>
      </c>
      <c r="K146" s="196"/>
      <c r="L146" s="196"/>
      <c r="M146" s="196"/>
      <c r="N146" s="196"/>
      <c r="O146" s="196"/>
      <c r="P146" s="240">
        <f t="shared" si="79"/>
        <v>4.4529999999999994</v>
      </c>
      <c r="Q146" s="196">
        <v>1.298</v>
      </c>
      <c r="R146" s="262">
        <v>3.1549999999999998</v>
      </c>
      <c r="S146" s="196"/>
      <c r="T146" s="196"/>
      <c r="U146" s="196"/>
      <c r="V146" s="238">
        <f t="shared" si="80"/>
        <v>428.82958399999995</v>
      </c>
      <c r="W146" s="227">
        <f t="shared" si="81"/>
        <v>5.1000000000000005</v>
      </c>
      <c r="X146" s="237"/>
      <c r="Y146" s="237">
        <v>0.51400000000000001</v>
      </c>
      <c r="Z146" s="237">
        <v>4.5860000000000003</v>
      </c>
      <c r="AA146" s="237"/>
      <c r="AB146" s="237"/>
      <c r="AC146" s="227">
        <f t="shared" si="82"/>
        <v>0</v>
      </c>
      <c r="AD146" s="239">
        <f t="shared" si="83"/>
        <v>0</v>
      </c>
      <c r="AE146" s="237"/>
      <c r="AF146" s="237"/>
      <c r="AG146" s="237"/>
      <c r="AH146" s="237"/>
      <c r="AI146" s="237"/>
      <c r="AJ146" s="239">
        <f t="shared" si="84"/>
        <v>0</v>
      </c>
      <c r="AK146" s="237"/>
      <c r="AL146" s="237"/>
      <c r="AM146" s="237"/>
      <c r="AN146" s="237"/>
      <c r="AO146" s="237"/>
      <c r="AP146" s="196">
        <v>329.5</v>
      </c>
      <c r="AQ146" s="334">
        <f t="shared" si="85"/>
        <v>5.1000000000000005</v>
      </c>
      <c r="AR146" s="207">
        <f>AC146/I146</f>
        <v>0</v>
      </c>
      <c r="AS146" s="196"/>
      <c r="AT146" s="196"/>
    </row>
    <row r="147" spans="1:46" hidden="1">
      <c r="A147" s="244">
        <v>3</v>
      </c>
      <c r="B147" s="263" t="s">
        <v>267</v>
      </c>
      <c r="C147" s="263">
        <f t="shared" si="76"/>
        <v>0.45500000000000002</v>
      </c>
      <c r="D147" s="264"/>
      <c r="E147" s="264"/>
      <c r="F147" s="266">
        <v>0.45500000000000002</v>
      </c>
      <c r="G147" s="264"/>
      <c r="H147" s="263"/>
      <c r="I147" s="249">
        <f t="shared" si="77"/>
        <v>0.9</v>
      </c>
      <c r="J147" s="240">
        <f t="shared" si="78"/>
        <v>0</v>
      </c>
      <c r="K147" s="196"/>
      <c r="L147" s="196"/>
      <c r="M147" s="196"/>
      <c r="N147" s="196"/>
      <c r="O147" s="196"/>
      <c r="P147" s="240">
        <f t="shared" si="79"/>
        <v>0.9</v>
      </c>
      <c r="Q147" s="196">
        <v>0.9</v>
      </c>
      <c r="R147" s="262"/>
      <c r="S147" s="196"/>
      <c r="T147" s="196"/>
      <c r="U147" s="196"/>
      <c r="V147" s="238">
        <f t="shared" si="80"/>
        <v>116.2248</v>
      </c>
      <c r="W147" s="227">
        <f t="shared" si="81"/>
        <v>0.52100000000000002</v>
      </c>
      <c r="X147" s="237"/>
      <c r="Y147" s="237">
        <v>7.4999999999999997E-2</v>
      </c>
      <c r="Z147" s="237">
        <v>0.44600000000000001</v>
      </c>
      <c r="AA147" s="237"/>
      <c r="AB147" s="237"/>
      <c r="AC147" s="227">
        <f t="shared" si="82"/>
        <v>0</v>
      </c>
      <c r="AD147" s="239">
        <f t="shared" si="83"/>
        <v>0</v>
      </c>
      <c r="AE147" s="237"/>
      <c r="AF147" s="237"/>
      <c r="AG147" s="237"/>
      <c r="AH147" s="237"/>
      <c r="AI147" s="237"/>
      <c r="AJ147" s="239">
        <f t="shared" si="84"/>
        <v>0</v>
      </c>
      <c r="AK147" s="237"/>
      <c r="AL147" s="237"/>
      <c r="AM147" s="237"/>
      <c r="AN147" s="237"/>
      <c r="AO147" s="237"/>
      <c r="AP147" s="196">
        <v>62</v>
      </c>
      <c r="AQ147" s="334">
        <f t="shared" si="85"/>
        <v>1.145054945054945</v>
      </c>
      <c r="AR147" s="207">
        <f>AC147/I147</f>
        <v>0</v>
      </c>
      <c r="AS147" s="196"/>
      <c r="AT147" s="196"/>
    </row>
    <row r="148" spans="1:46" hidden="1">
      <c r="A148" s="244">
        <v>4</v>
      </c>
      <c r="B148" s="263" t="s">
        <v>268</v>
      </c>
      <c r="C148" s="263">
        <f t="shared" si="76"/>
        <v>1.46</v>
      </c>
      <c r="D148" s="264"/>
      <c r="E148" s="264"/>
      <c r="F148" s="264">
        <v>1.46</v>
      </c>
      <c r="G148" s="264"/>
      <c r="H148" s="263"/>
      <c r="I148" s="249">
        <f t="shared" si="77"/>
        <v>1.35</v>
      </c>
      <c r="J148" s="240">
        <f t="shared" si="78"/>
        <v>0.3</v>
      </c>
      <c r="K148" s="196">
        <v>0.3</v>
      </c>
      <c r="L148" s="196"/>
      <c r="M148" s="196"/>
      <c r="N148" s="196"/>
      <c r="O148" s="196"/>
      <c r="P148" s="240">
        <f t="shared" si="79"/>
        <v>1.05</v>
      </c>
      <c r="Q148" s="196"/>
      <c r="R148" s="262">
        <v>0.55000000000000004</v>
      </c>
      <c r="S148" s="196"/>
      <c r="T148" s="196">
        <v>0.5</v>
      </c>
      <c r="U148" s="196"/>
      <c r="V148" s="238">
        <f t="shared" si="80"/>
        <v>247.77170000000001</v>
      </c>
      <c r="W148" s="227">
        <f t="shared" si="81"/>
        <v>1.0309999999999999</v>
      </c>
      <c r="X148" s="237"/>
      <c r="Y148" s="237"/>
      <c r="Z148" s="237">
        <v>1.0309999999999999</v>
      </c>
      <c r="AA148" s="237"/>
      <c r="AB148" s="237"/>
      <c r="AC148" s="227">
        <f t="shared" si="82"/>
        <v>0.33199999999999996</v>
      </c>
      <c r="AD148" s="239">
        <f t="shared" si="83"/>
        <v>0</v>
      </c>
      <c r="AE148" s="237"/>
      <c r="AF148" s="237"/>
      <c r="AG148" s="237"/>
      <c r="AH148" s="237"/>
      <c r="AI148" s="237"/>
      <c r="AJ148" s="239">
        <f t="shared" si="84"/>
        <v>0.33199999999999996</v>
      </c>
      <c r="AK148" s="237">
        <v>0.29199999999999998</v>
      </c>
      <c r="AL148" s="237"/>
      <c r="AM148" s="237"/>
      <c r="AN148" s="237">
        <v>0.04</v>
      </c>
      <c r="AO148" s="237"/>
      <c r="AP148" s="196">
        <v>163.19999999999999</v>
      </c>
      <c r="AQ148" s="334">
        <f t="shared" si="85"/>
        <v>0.70616438356164379</v>
      </c>
      <c r="AR148" s="207">
        <f>AC148/I148</f>
        <v>0.24592592592592588</v>
      </c>
      <c r="AS148" s="196"/>
      <c r="AT148" s="196"/>
    </row>
    <row r="149" spans="1:46" hidden="1">
      <c r="A149" s="244">
        <v>5</v>
      </c>
      <c r="B149" s="263" t="s">
        <v>269</v>
      </c>
      <c r="C149" s="263">
        <f t="shared" si="76"/>
        <v>3.5000000000000004</v>
      </c>
      <c r="D149" s="264"/>
      <c r="E149" s="264">
        <v>1</v>
      </c>
      <c r="F149" s="264">
        <f>0.2+0.26+0.1+0.2+0.39+0.17+0.09+0.18+0.26+0.21+0.33+0.06+0.1-0.3</f>
        <v>2.2500000000000004</v>
      </c>
      <c r="G149" s="264">
        <v>0.25</v>
      </c>
      <c r="H149" s="263"/>
      <c r="I149" s="249">
        <f t="shared" si="77"/>
        <v>0</v>
      </c>
      <c r="J149" s="240">
        <f t="shared" si="78"/>
        <v>0</v>
      </c>
      <c r="K149" s="196"/>
      <c r="L149" s="196"/>
      <c r="M149" s="196"/>
      <c r="N149" s="196"/>
      <c r="O149" s="196"/>
      <c r="P149" s="240">
        <f t="shared" si="79"/>
        <v>0</v>
      </c>
      <c r="Q149" s="196"/>
      <c r="R149" s="262"/>
      <c r="S149" s="196"/>
      <c r="T149" s="196"/>
      <c r="U149" s="196"/>
      <c r="V149" s="238">
        <f t="shared" si="80"/>
        <v>452.34000000000003</v>
      </c>
      <c r="W149" s="227">
        <f t="shared" si="81"/>
        <v>4.367</v>
      </c>
      <c r="X149" s="237"/>
      <c r="Y149" s="237">
        <v>0.1</v>
      </c>
      <c r="Z149" s="237">
        <v>4.077</v>
      </c>
      <c r="AA149" s="237">
        <v>0.19</v>
      </c>
      <c r="AB149" s="237"/>
      <c r="AC149" s="227">
        <f t="shared" si="82"/>
        <v>0</v>
      </c>
      <c r="AD149" s="239">
        <f t="shared" si="83"/>
        <v>0</v>
      </c>
      <c r="AE149" s="237"/>
      <c r="AF149" s="237"/>
      <c r="AG149" s="237"/>
      <c r="AH149" s="237"/>
      <c r="AI149" s="237"/>
      <c r="AJ149" s="239">
        <f t="shared" si="84"/>
        <v>0</v>
      </c>
      <c r="AK149" s="237"/>
      <c r="AL149" s="237"/>
      <c r="AM149" s="237"/>
      <c r="AN149" s="237"/>
      <c r="AO149" s="237"/>
      <c r="AP149" s="196">
        <v>481.6</v>
      </c>
      <c r="AQ149" s="334">
        <f t="shared" si="85"/>
        <v>1.2477142857142856</v>
      </c>
      <c r="AR149" s="207"/>
      <c r="AS149" s="196"/>
      <c r="AT149" s="196"/>
    </row>
    <row r="150" spans="1:46" hidden="1">
      <c r="A150" s="244">
        <v>6</v>
      </c>
      <c r="B150" s="263" t="s">
        <v>270</v>
      </c>
      <c r="C150" s="263">
        <f t="shared" si="76"/>
        <v>2.02</v>
      </c>
      <c r="D150" s="264"/>
      <c r="E150" s="264"/>
      <c r="F150" s="264">
        <v>1.1100000000000001</v>
      </c>
      <c r="G150" s="264">
        <v>0.91</v>
      </c>
      <c r="H150" s="263"/>
      <c r="I150" s="249">
        <f t="shared" si="77"/>
        <v>0</v>
      </c>
      <c r="J150" s="240">
        <f t="shared" si="78"/>
        <v>0</v>
      </c>
      <c r="K150" s="196"/>
      <c r="L150" s="196"/>
      <c r="M150" s="196"/>
      <c r="N150" s="196"/>
      <c r="O150" s="196"/>
      <c r="P150" s="240">
        <f t="shared" si="79"/>
        <v>0</v>
      </c>
      <c r="Q150" s="196"/>
      <c r="R150" s="262"/>
      <c r="S150" s="196"/>
      <c r="T150" s="196"/>
      <c r="U150" s="196"/>
      <c r="V150" s="238">
        <f t="shared" si="80"/>
        <v>225.67439999999999</v>
      </c>
      <c r="W150" s="227">
        <f t="shared" si="81"/>
        <v>3.67</v>
      </c>
      <c r="X150" s="237"/>
      <c r="Y150" s="237"/>
      <c r="Z150" s="237">
        <v>2.472</v>
      </c>
      <c r="AA150" s="237">
        <v>1.198</v>
      </c>
      <c r="AB150" s="237"/>
      <c r="AC150" s="227">
        <f t="shared" si="82"/>
        <v>0</v>
      </c>
      <c r="AD150" s="239">
        <f t="shared" si="83"/>
        <v>0</v>
      </c>
      <c r="AE150" s="237"/>
      <c r="AF150" s="237"/>
      <c r="AG150" s="237"/>
      <c r="AH150" s="237"/>
      <c r="AI150" s="237"/>
      <c r="AJ150" s="239">
        <f t="shared" si="84"/>
        <v>0</v>
      </c>
      <c r="AK150" s="237"/>
      <c r="AL150" s="237"/>
      <c r="AM150" s="237"/>
      <c r="AN150" s="237"/>
      <c r="AO150" s="237"/>
      <c r="AP150" s="196">
        <v>194</v>
      </c>
      <c r="AQ150" s="334">
        <f t="shared" si="85"/>
        <v>1.8168316831683169</v>
      </c>
      <c r="AR150" s="207"/>
      <c r="AS150" s="196"/>
      <c r="AT150" s="196"/>
    </row>
    <row r="151" spans="1:46" hidden="1">
      <c r="A151" s="244">
        <v>7</v>
      </c>
      <c r="B151" s="263" t="s">
        <v>271</v>
      </c>
      <c r="C151" s="263">
        <f t="shared" si="76"/>
        <v>0.96</v>
      </c>
      <c r="D151" s="264"/>
      <c r="E151" s="264"/>
      <c r="F151" s="264">
        <v>0.96</v>
      </c>
      <c r="G151" s="264"/>
      <c r="H151" s="263"/>
      <c r="I151" s="249">
        <f t="shared" si="77"/>
        <v>0</v>
      </c>
      <c r="J151" s="240">
        <f t="shared" si="78"/>
        <v>0</v>
      </c>
      <c r="K151" s="196"/>
      <c r="L151" s="196"/>
      <c r="M151" s="196"/>
      <c r="N151" s="196"/>
      <c r="O151" s="196"/>
      <c r="P151" s="240">
        <f t="shared" si="79"/>
        <v>0</v>
      </c>
      <c r="Q151" s="196"/>
      <c r="R151" s="262"/>
      <c r="S151" s="196"/>
      <c r="T151" s="196"/>
      <c r="U151" s="196"/>
      <c r="V151" s="238">
        <f t="shared" si="80"/>
        <v>107.2512</v>
      </c>
      <c r="W151" s="227">
        <f t="shared" si="81"/>
        <v>1.2289999999999999</v>
      </c>
      <c r="X151" s="237"/>
      <c r="Y151" s="237"/>
      <c r="Z151" s="237">
        <v>1.2289999999999999</v>
      </c>
      <c r="AA151" s="237"/>
      <c r="AB151" s="237"/>
      <c r="AC151" s="227">
        <f t="shared" si="82"/>
        <v>0</v>
      </c>
      <c r="AD151" s="239">
        <f t="shared" si="83"/>
        <v>0</v>
      </c>
      <c r="AE151" s="237"/>
      <c r="AF151" s="237"/>
      <c r="AG151" s="237"/>
      <c r="AH151" s="237"/>
      <c r="AI151" s="237"/>
      <c r="AJ151" s="239">
        <f t="shared" si="84"/>
        <v>0</v>
      </c>
      <c r="AK151" s="237"/>
      <c r="AL151" s="237"/>
      <c r="AM151" s="237"/>
      <c r="AN151" s="237"/>
      <c r="AO151" s="237"/>
      <c r="AP151" s="196">
        <v>110.45</v>
      </c>
      <c r="AQ151" s="334">
        <f t="shared" si="85"/>
        <v>1.2802083333333332</v>
      </c>
      <c r="AR151" s="207"/>
      <c r="AS151" s="196"/>
      <c r="AT151" s="196"/>
    </row>
    <row r="152" spans="1:46" hidden="1">
      <c r="A152" s="244">
        <v>8</v>
      </c>
      <c r="B152" s="263" t="s">
        <v>272</v>
      </c>
      <c r="C152" s="263">
        <f t="shared" si="76"/>
        <v>1.0149999999999999</v>
      </c>
      <c r="D152" s="264"/>
      <c r="E152" s="264"/>
      <c r="F152" s="264">
        <v>1.0149999999999999</v>
      </c>
      <c r="G152" s="264"/>
      <c r="H152" s="263"/>
      <c r="I152" s="249">
        <f t="shared" si="77"/>
        <v>0</v>
      </c>
      <c r="J152" s="240">
        <f t="shared" si="78"/>
        <v>0</v>
      </c>
      <c r="K152" s="196"/>
      <c r="L152" s="196"/>
      <c r="M152" s="196"/>
      <c r="N152" s="196"/>
      <c r="O152" s="196"/>
      <c r="P152" s="240">
        <f t="shared" si="79"/>
        <v>0</v>
      </c>
      <c r="Q152" s="196"/>
      <c r="R152" s="262"/>
      <c r="S152" s="196"/>
      <c r="T152" s="196"/>
      <c r="U152" s="196"/>
      <c r="V152" s="238">
        <f t="shared" si="80"/>
        <v>113.39579999999999</v>
      </c>
      <c r="W152" s="227">
        <f t="shared" si="81"/>
        <v>1.835</v>
      </c>
      <c r="X152" s="237"/>
      <c r="Y152" s="237"/>
      <c r="Z152" s="237">
        <v>1.835</v>
      </c>
      <c r="AA152" s="237"/>
      <c r="AB152" s="237"/>
      <c r="AC152" s="227">
        <f t="shared" si="82"/>
        <v>0.57099999999999995</v>
      </c>
      <c r="AD152" s="239">
        <f t="shared" si="83"/>
        <v>0</v>
      </c>
      <c r="AE152" s="237"/>
      <c r="AF152" s="237"/>
      <c r="AG152" s="237"/>
      <c r="AH152" s="237"/>
      <c r="AI152" s="237"/>
      <c r="AJ152" s="239">
        <f t="shared" si="84"/>
        <v>0.57099999999999995</v>
      </c>
      <c r="AK152" s="237"/>
      <c r="AL152" s="237">
        <v>0.221</v>
      </c>
      <c r="AM152" s="237"/>
      <c r="AN152" s="237">
        <v>0.35</v>
      </c>
      <c r="AO152" s="237"/>
      <c r="AP152" s="196">
        <v>259.8</v>
      </c>
      <c r="AQ152" s="334">
        <f t="shared" si="85"/>
        <v>1.8078817733990149</v>
      </c>
      <c r="AR152" s="207"/>
      <c r="AS152" s="196"/>
      <c r="AT152" s="196"/>
    </row>
    <row r="153" spans="1:46" hidden="1">
      <c r="A153" s="244">
        <v>9</v>
      </c>
      <c r="B153" s="263" t="s">
        <v>273</v>
      </c>
      <c r="C153" s="263">
        <f t="shared" si="76"/>
        <v>3.0030000000000001</v>
      </c>
      <c r="D153" s="264"/>
      <c r="E153" s="264">
        <v>0.5</v>
      </c>
      <c r="F153" s="264">
        <v>1.5029999999999999</v>
      </c>
      <c r="G153" s="264">
        <v>1</v>
      </c>
      <c r="H153" s="263"/>
      <c r="I153" s="249">
        <f t="shared" si="77"/>
        <v>0</v>
      </c>
      <c r="J153" s="240">
        <f t="shared" si="78"/>
        <v>0</v>
      </c>
      <c r="K153" s="196"/>
      <c r="L153" s="196"/>
      <c r="M153" s="196"/>
      <c r="N153" s="196"/>
      <c r="O153" s="196"/>
      <c r="P153" s="240">
        <f t="shared" si="79"/>
        <v>0</v>
      </c>
      <c r="Q153" s="196"/>
      <c r="R153" s="262"/>
      <c r="S153" s="196"/>
      <c r="T153" s="196"/>
      <c r="U153" s="196"/>
      <c r="V153" s="238">
        <f t="shared" si="80"/>
        <v>366.15516000000002</v>
      </c>
      <c r="W153" s="227">
        <f t="shared" si="81"/>
        <v>1.23</v>
      </c>
      <c r="X153" s="237"/>
      <c r="Y153" s="237"/>
      <c r="Z153" s="237">
        <v>1.23</v>
      </c>
      <c r="AA153" s="237"/>
      <c r="AB153" s="237"/>
      <c r="AC153" s="227">
        <f t="shared" si="82"/>
        <v>0</v>
      </c>
      <c r="AD153" s="239">
        <f t="shared" si="83"/>
        <v>0</v>
      </c>
      <c r="AE153" s="237"/>
      <c r="AF153" s="237"/>
      <c r="AG153" s="237"/>
      <c r="AH153" s="237"/>
      <c r="AI153" s="237"/>
      <c r="AJ153" s="239">
        <f t="shared" si="84"/>
        <v>0</v>
      </c>
      <c r="AK153" s="237"/>
      <c r="AL153" s="237"/>
      <c r="AM153" s="237"/>
      <c r="AN153" s="237"/>
      <c r="AO153" s="237"/>
      <c r="AP153" s="196">
        <v>177.5</v>
      </c>
      <c r="AQ153" s="334">
        <f t="shared" si="85"/>
        <v>0.40959040959040954</v>
      </c>
      <c r="AR153" s="207"/>
      <c r="AS153" s="196"/>
      <c r="AT153" s="196"/>
    </row>
    <row r="154" spans="1:46" hidden="1">
      <c r="A154" s="244">
        <v>10</v>
      </c>
      <c r="B154" s="267" t="s">
        <v>274</v>
      </c>
      <c r="C154" s="263">
        <f t="shared" si="76"/>
        <v>2.4</v>
      </c>
      <c r="D154" s="264"/>
      <c r="E154" s="264"/>
      <c r="F154" s="264">
        <v>2.4</v>
      </c>
      <c r="G154" s="264"/>
      <c r="H154" s="263"/>
      <c r="I154" s="249">
        <f t="shared" si="77"/>
        <v>0.5</v>
      </c>
      <c r="J154" s="240">
        <f t="shared" si="78"/>
        <v>0.5</v>
      </c>
      <c r="K154" s="196">
        <v>0.5</v>
      </c>
      <c r="L154" s="196"/>
      <c r="M154" s="196"/>
      <c r="N154" s="196"/>
      <c r="O154" s="196"/>
      <c r="P154" s="240">
        <f t="shared" si="79"/>
        <v>0</v>
      </c>
      <c r="Q154" s="196"/>
      <c r="R154" s="262"/>
      <c r="S154" s="196"/>
      <c r="T154" s="196"/>
      <c r="U154" s="196"/>
      <c r="V154" s="238">
        <f t="shared" si="80"/>
        <v>311.25549999999998</v>
      </c>
      <c r="W154" s="227">
        <f t="shared" si="81"/>
        <v>2.2120000000000002</v>
      </c>
      <c r="X154" s="237"/>
      <c r="Y154" s="237">
        <v>0.22</v>
      </c>
      <c r="Z154" s="237">
        <v>1.992</v>
      </c>
      <c r="AA154" s="237"/>
      <c r="AB154" s="237"/>
      <c r="AC154" s="227">
        <f t="shared" si="82"/>
        <v>0</v>
      </c>
      <c r="AD154" s="239">
        <f t="shared" si="83"/>
        <v>0</v>
      </c>
      <c r="AE154" s="237"/>
      <c r="AF154" s="237"/>
      <c r="AG154" s="237"/>
      <c r="AH154" s="237"/>
      <c r="AI154" s="237"/>
      <c r="AJ154" s="239">
        <f t="shared" si="84"/>
        <v>0</v>
      </c>
      <c r="AK154" s="237"/>
      <c r="AL154" s="237"/>
      <c r="AM154" s="237"/>
      <c r="AN154" s="237"/>
      <c r="AO154" s="237"/>
      <c r="AP154" s="196">
        <v>260.61500000000001</v>
      </c>
      <c r="AQ154" s="334">
        <f t="shared" si="85"/>
        <v>0.92166666666666675</v>
      </c>
      <c r="AR154" s="207">
        <f>AC154/I154</f>
        <v>0</v>
      </c>
      <c r="AS154" s="196"/>
      <c r="AT154" s="196"/>
    </row>
    <row r="155" spans="1:46" hidden="1">
      <c r="A155" s="244">
        <v>11</v>
      </c>
      <c r="B155" s="263" t="s">
        <v>275</v>
      </c>
      <c r="C155" s="263">
        <f t="shared" si="76"/>
        <v>2.36</v>
      </c>
      <c r="D155" s="264"/>
      <c r="E155" s="264"/>
      <c r="F155" s="264">
        <v>2.36</v>
      </c>
      <c r="G155" s="264"/>
      <c r="H155" s="263"/>
      <c r="I155" s="249">
        <f t="shared" si="77"/>
        <v>0</v>
      </c>
      <c r="J155" s="240">
        <f t="shared" si="78"/>
        <v>0</v>
      </c>
      <c r="K155" s="196"/>
      <c r="L155" s="196"/>
      <c r="M155" s="196"/>
      <c r="N155" s="196"/>
      <c r="O155" s="196"/>
      <c r="P155" s="240">
        <f t="shared" si="79"/>
        <v>0</v>
      </c>
      <c r="Q155" s="196"/>
      <c r="R155" s="262"/>
      <c r="S155" s="196"/>
      <c r="T155" s="196"/>
      <c r="U155" s="196"/>
      <c r="V155" s="238">
        <f t="shared" si="80"/>
        <v>263.6592</v>
      </c>
      <c r="W155" s="227">
        <f t="shared" si="81"/>
        <v>2.1399999999999997</v>
      </c>
      <c r="X155" s="237"/>
      <c r="Y155" s="237"/>
      <c r="Z155" s="237">
        <v>2.1399999999999997</v>
      </c>
      <c r="AA155" s="237"/>
      <c r="AB155" s="237"/>
      <c r="AC155" s="227">
        <f t="shared" si="82"/>
        <v>0</v>
      </c>
      <c r="AD155" s="239">
        <f t="shared" si="83"/>
        <v>0</v>
      </c>
      <c r="AE155" s="237"/>
      <c r="AF155" s="237"/>
      <c r="AG155" s="237"/>
      <c r="AH155" s="237"/>
      <c r="AI155" s="237"/>
      <c r="AJ155" s="239">
        <f t="shared" si="84"/>
        <v>0</v>
      </c>
      <c r="AK155" s="237"/>
      <c r="AL155" s="237"/>
      <c r="AM155" s="237"/>
      <c r="AN155" s="237"/>
      <c r="AO155" s="237"/>
      <c r="AP155" s="196">
        <v>290</v>
      </c>
      <c r="AQ155" s="334">
        <f t="shared" si="85"/>
        <v>0.90677966101694907</v>
      </c>
      <c r="AR155" s="207"/>
      <c r="AS155" s="196"/>
      <c r="AT155" s="196"/>
    </row>
    <row r="156" spans="1:46" hidden="1">
      <c r="A156" s="244">
        <v>12</v>
      </c>
      <c r="B156" s="267" t="s">
        <v>276</v>
      </c>
      <c r="C156" s="263">
        <f t="shared" si="76"/>
        <v>3.5</v>
      </c>
      <c r="D156" s="264"/>
      <c r="E156" s="264">
        <v>1</v>
      </c>
      <c r="F156" s="264">
        <v>2.1</v>
      </c>
      <c r="G156" s="264">
        <v>0.4</v>
      </c>
      <c r="H156" s="263"/>
      <c r="I156" s="249">
        <f t="shared" si="77"/>
        <v>1.7999999999999998</v>
      </c>
      <c r="J156" s="240">
        <f t="shared" si="78"/>
        <v>0.4</v>
      </c>
      <c r="K156" s="196">
        <v>0.4</v>
      </c>
      <c r="L156" s="196"/>
      <c r="M156" s="196"/>
      <c r="N156" s="196"/>
      <c r="O156" s="196"/>
      <c r="P156" s="240">
        <f t="shared" si="79"/>
        <v>1.4</v>
      </c>
      <c r="Q156" s="196">
        <v>1</v>
      </c>
      <c r="R156" s="262">
        <v>0.4</v>
      </c>
      <c r="S156" s="196"/>
      <c r="T156" s="196"/>
      <c r="U156" s="196"/>
      <c r="V156" s="238">
        <f t="shared" si="80"/>
        <v>583.86</v>
      </c>
      <c r="W156" s="227">
        <f t="shared" si="81"/>
        <v>4.5000000000000009</v>
      </c>
      <c r="X156" s="237"/>
      <c r="Y156" s="171">
        <v>1.05</v>
      </c>
      <c r="Z156" s="171">
        <v>2.850000000000001</v>
      </c>
      <c r="AA156" s="237">
        <v>0.6</v>
      </c>
      <c r="AB156" s="237"/>
      <c r="AC156" s="227">
        <f t="shared" si="82"/>
        <v>0</v>
      </c>
      <c r="AD156" s="239">
        <f t="shared" si="83"/>
        <v>0</v>
      </c>
      <c r="AE156" s="237"/>
      <c r="AF156" s="237"/>
      <c r="AG156" s="237"/>
      <c r="AH156" s="237"/>
      <c r="AI156" s="237"/>
      <c r="AJ156" s="239">
        <f t="shared" si="84"/>
        <v>0</v>
      </c>
      <c r="AK156" s="237"/>
      <c r="AL156" s="237"/>
      <c r="AM156" s="237"/>
      <c r="AN156" s="237"/>
      <c r="AO156" s="237"/>
      <c r="AP156" s="171">
        <v>460</v>
      </c>
      <c r="AQ156" s="334">
        <f t="shared" si="85"/>
        <v>1.285714285714286</v>
      </c>
      <c r="AR156" s="207">
        <f t="shared" ref="AR156:AR161" si="86">AC156/I156</f>
        <v>0</v>
      </c>
      <c r="AS156" s="196"/>
      <c r="AT156" s="196"/>
    </row>
    <row r="157" spans="1:46" hidden="1">
      <c r="A157" s="244">
        <v>13</v>
      </c>
      <c r="B157" s="267" t="s">
        <v>277</v>
      </c>
      <c r="C157" s="263">
        <f t="shared" si="76"/>
        <v>1.2</v>
      </c>
      <c r="D157" s="264"/>
      <c r="E157" s="264">
        <v>0.2</v>
      </c>
      <c r="F157" s="264">
        <v>0.8</v>
      </c>
      <c r="G157" s="264">
        <v>0.2</v>
      </c>
      <c r="H157" s="263"/>
      <c r="I157" s="249">
        <f t="shared" si="77"/>
        <v>0.46</v>
      </c>
      <c r="J157" s="240">
        <f t="shared" si="78"/>
        <v>0</v>
      </c>
      <c r="K157" s="196"/>
      <c r="L157" s="196"/>
      <c r="M157" s="196"/>
      <c r="N157" s="196"/>
      <c r="O157" s="196"/>
      <c r="P157" s="240">
        <f t="shared" si="79"/>
        <v>0.46</v>
      </c>
      <c r="Q157" s="196"/>
      <c r="R157" s="262">
        <v>0.46</v>
      </c>
      <c r="S157" s="196"/>
      <c r="T157" s="196"/>
      <c r="U157" s="196"/>
      <c r="V157" s="238">
        <f t="shared" si="80"/>
        <v>174.34200000000001</v>
      </c>
      <c r="W157" s="227">
        <f t="shared" si="81"/>
        <v>1.5580000000000001</v>
      </c>
      <c r="X157" s="237"/>
      <c r="Y157" s="237">
        <v>0.25</v>
      </c>
      <c r="Z157" s="237">
        <v>0.65800000000000003</v>
      </c>
      <c r="AA157" s="237">
        <v>0.65</v>
      </c>
      <c r="AB157" s="237"/>
      <c r="AC157" s="227">
        <f t="shared" si="82"/>
        <v>0</v>
      </c>
      <c r="AD157" s="239">
        <f t="shared" si="83"/>
        <v>0</v>
      </c>
      <c r="AE157" s="237"/>
      <c r="AF157" s="237"/>
      <c r="AG157" s="237"/>
      <c r="AH157" s="237"/>
      <c r="AI157" s="237"/>
      <c r="AJ157" s="239">
        <f t="shared" si="84"/>
        <v>0</v>
      </c>
      <c r="AK157" s="237"/>
      <c r="AL157" s="237"/>
      <c r="AM157" s="237"/>
      <c r="AN157" s="237"/>
      <c r="AO157" s="237"/>
      <c r="AP157" s="196">
        <v>200</v>
      </c>
      <c r="AQ157" s="334">
        <f t="shared" si="85"/>
        <v>1.2983333333333333</v>
      </c>
      <c r="AR157" s="207">
        <f t="shared" si="86"/>
        <v>0</v>
      </c>
      <c r="AS157" s="196"/>
      <c r="AT157" s="196"/>
    </row>
    <row r="158" spans="1:46" hidden="1">
      <c r="A158" s="244">
        <v>14</v>
      </c>
      <c r="B158" s="263" t="s">
        <v>278</v>
      </c>
      <c r="C158" s="263">
        <f>SUM(D158:H158)</f>
        <v>10</v>
      </c>
      <c r="D158" s="264">
        <v>0.6</v>
      </c>
      <c r="E158" s="264">
        <f>0.2+0.8+0.2+0.2+0.35+0.25+0.3</f>
        <v>2.2999999999999998</v>
      </c>
      <c r="F158" s="264">
        <v>0.7</v>
      </c>
      <c r="G158" s="264">
        <f>0.67+0.65+0.53+0.52+0.67+0.65+0.6+0.62+0.62+0.32+0.55</f>
        <v>6.4</v>
      </c>
      <c r="H158" s="263"/>
      <c r="I158" s="249">
        <f t="shared" si="77"/>
        <v>8.620000000000001</v>
      </c>
      <c r="J158" s="240">
        <f t="shared" si="78"/>
        <v>3.05</v>
      </c>
      <c r="K158" s="196">
        <v>3.05</v>
      </c>
      <c r="L158" s="196"/>
      <c r="M158" s="196"/>
      <c r="N158" s="196"/>
      <c r="O158" s="196"/>
      <c r="P158" s="240">
        <f t="shared" si="79"/>
        <v>5.57</v>
      </c>
      <c r="Q158" s="196">
        <v>5.57</v>
      </c>
      <c r="R158" s="262"/>
      <c r="S158" s="196"/>
      <c r="T158" s="196"/>
      <c r="U158" s="196"/>
      <c r="V158" s="238">
        <f t="shared" si="80"/>
        <v>1975.7888099999998</v>
      </c>
      <c r="W158" s="227">
        <f t="shared" si="81"/>
        <v>5.2829999999999995</v>
      </c>
      <c r="X158" s="237">
        <v>0.6</v>
      </c>
      <c r="Y158" s="237">
        <v>2.375</v>
      </c>
      <c r="Z158" s="237">
        <v>2.3079999999999998</v>
      </c>
      <c r="AA158" s="237"/>
      <c r="AB158" s="237"/>
      <c r="AC158" s="227">
        <f t="shared" si="82"/>
        <v>0</v>
      </c>
      <c r="AD158" s="239">
        <f t="shared" si="83"/>
        <v>0</v>
      </c>
      <c r="AE158" s="237"/>
      <c r="AF158" s="237"/>
      <c r="AG158" s="237"/>
      <c r="AH158" s="237"/>
      <c r="AI158" s="237"/>
      <c r="AJ158" s="239">
        <f t="shared" si="84"/>
        <v>0</v>
      </c>
      <c r="AK158" s="237"/>
      <c r="AL158" s="237"/>
      <c r="AM158" s="237"/>
      <c r="AN158" s="237"/>
      <c r="AO158" s="237"/>
      <c r="AP158" s="196">
        <v>573</v>
      </c>
      <c r="AQ158" s="334">
        <f t="shared" si="85"/>
        <v>0.52829999999999999</v>
      </c>
      <c r="AR158" s="207">
        <f t="shared" si="86"/>
        <v>0</v>
      </c>
      <c r="AS158" s="196"/>
      <c r="AT158" s="196"/>
    </row>
    <row r="159" spans="1:46" hidden="1">
      <c r="A159" s="244">
        <v>15</v>
      </c>
      <c r="B159" s="263" t="s">
        <v>279</v>
      </c>
      <c r="C159" s="263">
        <f t="shared" si="76"/>
        <v>4</v>
      </c>
      <c r="D159" s="264"/>
      <c r="E159" s="264">
        <v>1.2</v>
      </c>
      <c r="F159" s="264">
        <v>1.8</v>
      </c>
      <c r="G159" s="264">
        <v>1</v>
      </c>
      <c r="H159" s="263"/>
      <c r="I159" s="249">
        <f t="shared" si="77"/>
        <v>5.9499999999999993</v>
      </c>
      <c r="J159" s="240">
        <f t="shared" si="78"/>
        <v>1.35</v>
      </c>
      <c r="K159" s="196"/>
      <c r="L159" s="196">
        <v>1.35</v>
      </c>
      <c r="M159" s="196"/>
      <c r="N159" s="196"/>
      <c r="O159" s="196"/>
      <c r="P159" s="240">
        <f t="shared" si="79"/>
        <v>4.5999999999999996</v>
      </c>
      <c r="Q159" s="196"/>
      <c r="R159" s="262"/>
      <c r="S159" s="196"/>
      <c r="T159" s="196">
        <v>4.5999999999999996</v>
      </c>
      <c r="U159" s="196"/>
      <c r="V159" s="238">
        <f t="shared" si="80"/>
        <v>849.84760000000006</v>
      </c>
      <c r="W159" s="227">
        <f t="shared" si="81"/>
        <v>1.9380000000000002</v>
      </c>
      <c r="X159" s="237"/>
      <c r="Y159" s="237">
        <v>0.82199999999999995</v>
      </c>
      <c r="Z159" s="237">
        <v>1.1160000000000001</v>
      </c>
      <c r="AA159" s="237"/>
      <c r="AB159" s="237"/>
      <c r="AC159" s="227">
        <f t="shared" si="82"/>
        <v>0</v>
      </c>
      <c r="AD159" s="239">
        <f t="shared" si="83"/>
        <v>0</v>
      </c>
      <c r="AE159" s="237"/>
      <c r="AF159" s="237"/>
      <c r="AG159" s="237"/>
      <c r="AH159" s="237"/>
      <c r="AI159" s="237"/>
      <c r="AJ159" s="239">
        <f t="shared" si="84"/>
        <v>0</v>
      </c>
      <c r="AK159" s="237"/>
      <c r="AL159" s="237"/>
      <c r="AM159" s="237"/>
      <c r="AN159" s="237"/>
      <c r="AO159" s="237"/>
      <c r="AP159" s="196">
        <v>337</v>
      </c>
      <c r="AQ159" s="334">
        <f t="shared" si="85"/>
        <v>0.48450000000000004</v>
      </c>
      <c r="AR159" s="207">
        <f t="shared" si="86"/>
        <v>0</v>
      </c>
      <c r="AS159" s="196"/>
      <c r="AT159" s="196"/>
    </row>
    <row r="160" spans="1:46" hidden="1">
      <c r="A160" s="244">
        <v>16</v>
      </c>
      <c r="B160" s="263" t="s">
        <v>280</v>
      </c>
      <c r="C160" s="263">
        <f t="shared" si="76"/>
        <v>1.8349999999999997</v>
      </c>
      <c r="D160" s="264"/>
      <c r="E160" s="264">
        <f>0.736+0.46+0.174+0.313</f>
        <v>1.6829999999999998</v>
      </c>
      <c r="F160" s="264">
        <f>0.12+0.032</f>
        <v>0.152</v>
      </c>
      <c r="G160" s="264"/>
      <c r="H160" s="263"/>
      <c r="I160" s="249">
        <f t="shared" si="77"/>
        <v>0.75</v>
      </c>
      <c r="J160" s="240">
        <f t="shared" si="78"/>
        <v>0.18</v>
      </c>
      <c r="K160" s="196"/>
      <c r="L160" s="196"/>
      <c r="M160" s="196">
        <v>0.18</v>
      </c>
      <c r="N160" s="196"/>
      <c r="O160" s="196"/>
      <c r="P160" s="240">
        <f t="shared" si="79"/>
        <v>0.56999999999999995</v>
      </c>
      <c r="Q160" s="196"/>
      <c r="R160" s="262"/>
      <c r="S160" s="196">
        <v>0.56999999999999995</v>
      </c>
      <c r="T160" s="196"/>
      <c r="U160" s="196"/>
      <c r="V160" s="238">
        <f t="shared" si="80"/>
        <v>366.00389999999993</v>
      </c>
      <c r="W160" s="227">
        <f t="shared" si="81"/>
        <v>2.2410000000000001</v>
      </c>
      <c r="X160" s="237"/>
      <c r="Y160" s="237">
        <v>1.609</v>
      </c>
      <c r="Z160" s="237">
        <v>0.63200000000000001</v>
      </c>
      <c r="AA160" s="237"/>
      <c r="AB160" s="237"/>
      <c r="AC160" s="227">
        <f t="shared" si="82"/>
        <v>0</v>
      </c>
      <c r="AD160" s="239">
        <f t="shared" si="83"/>
        <v>0</v>
      </c>
      <c r="AE160" s="237"/>
      <c r="AF160" s="237"/>
      <c r="AG160" s="237"/>
      <c r="AH160" s="237"/>
      <c r="AI160" s="237"/>
      <c r="AJ160" s="239">
        <f t="shared" si="84"/>
        <v>0</v>
      </c>
      <c r="AK160" s="237"/>
      <c r="AL160" s="237"/>
      <c r="AM160" s="237"/>
      <c r="AN160" s="237"/>
      <c r="AO160" s="237"/>
      <c r="AP160" s="196">
        <v>399.15</v>
      </c>
      <c r="AQ160" s="334">
        <f t="shared" si="85"/>
        <v>1.2212534059945506</v>
      </c>
      <c r="AR160" s="207">
        <f t="shared" si="86"/>
        <v>0</v>
      </c>
      <c r="AS160" s="196"/>
      <c r="AT160" s="196"/>
    </row>
    <row r="161" spans="1:46" hidden="1">
      <c r="A161" s="244">
        <v>17</v>
      </c>
      <c r="B161" s="263" t="s">
        <v>281</v>
      </c>
      <c r="C161" s="263">
        <f t="shared" si="76"/>
        <v>0.8620000000000001</v>
      </c>
      <c r="D161" s="264"/>
      <c r="E161" s="264"/>
      <c r="F161" s="264">
        <f>0.07+0.05+0.1+0.045+0.08+0.047+0.06+0.05+0.06+0.3</f>
        <v>0.8620000000000001</v>
      </c>
      <c r="G161" s="264"/>
      <c r="H161" s="263"/>
      <c r="I161" s="249">
        <f t="shared" si="77"/>
        <v>0.6</v>
      </c>
      <c r="J161" s="240">
        <f t="shared" si="78"/>
        <v>0</v>
      </c>
      <c r="K161" s="196"/>
      <c r="L161" s="196"/>
      <c r="M161" s="196"/>
      <c r="N161" s="196"/>
      <c r="O161" s="196"/>
      <c r="P161" s="240">
        <f t="shared" si="79"/>
        <v>0.6</v>
      </c>
      <c r="Q161" s="196">
        <v>0.6</v>
      </c>
      <c r="R161" s="262"/>
      <c r="S161" s="196"/>
      <c r="T161" s="196"/>
      <c r="U161" s="196"/>
      <c r="V161" s="238">
        <f t="shared" si="80"/>
        <v>139.89744000000002</v>
      </c>
      <c r="W161" s="227">
        <f t="shared" si="81"/>
        <v>0.92300000000000004</v>
      </c>
      <c r="X161" s="237"/>
      <c r="Y161" s="237"/>
      <c r="Z161" s="237">
        <v>0.92300000000000004</v>
      </c>
      <c r="AA161" s="237"/>
      <c r="AB161" s="237"/>
      <c r="AC161" s="227">
        <f t="shared" si="82"/>
        <v>0</v>
      </c>
      <c r="AD161" s="239">
        <f t="shared" si="83"/>
        <v>0</v>
      </c>
      <c r="AE161" s="237"/>
      <c r="AF161" s="237"/>
      <c r="AG161" s="237"/>
      <c r="AH161" s="237"/>
      <c r="AI161" s="237"/>
      <c r="AJ161" s="239">
        <f t="shared" si="84"/>
        <v>0</v>
      </c>
      <c r="AK161" s="237"/>
      <c r="AL161" s="237"/>
      <c r="AM161" s="237"/>
      <c r="AN161" s="237"/>
      <c r="AO161" s="237"/>
      <c r="AP161" s="196">
        <v>125.3</v>
      </c>
      <c r="AQ161" s="334">
        <f t="shared" si="85"/>
        <v>1.0707656612529002</v>
      </c>
      <c r="AR161" s="207">
        <f t="shared" si="86"/>
        <v>0</v>
      </c>
      <c r="AS161" s="196"/>
      <c r="AT161" s="196"/>
    </row>
    <row r="162" spans="1:46" hidden="1">
      <c r="A162" s="244">
        <v>18</v>
      </c>
      <c r="B162" s="263" t="s">
        <v>282</v>
      </c>
      <c r="C162" s="263">
        <f t="shared" si="76"/>
        <v>2.6300000000000012</v>
      </c>
      <c r="D162" s="264"/>
      <c r="E162" s="264"/>
      <c r="F162" s="264">
        <f>0.2+0.15+0.3+0.065+0.18+0.05+0.05+0.1+0.1+0.1+0.05+0.06+0.07+0.05+0.05+0.04+0.12+0.05+0.03+0.05+0.07+0.05+0.05+0.08+0.1+0.1+0.035+0.08+0.06+0.04+0.1</f>
        <v>2.6300000000000012</v>
      </c>
      <c r="G162" s="264"/>
      <c r="H162" s="263"/>
      <c r="I162" s="249">
        <f t="shared" si="77"/>
        <v>0</v>
      </c>
      <c r="J162" s="240">
        <f t="shared" si="78"/>
        <v>0</v>
      </c>
      <c r="K162" s="196"/>
      <c r="L162" s="196"/>
      <c r="M162" s="196"/>
      <c r="N162" s="196"/>
      <c r="O162" s="196"/>
      <c r="P162" s="240">
        <f t="shared" si="79"/>
        <v>0</v>
      </c>
      <c r="Q162" s="196"/>
      <c r="R162" s="262"/>
      <c r="S162" s="196"/>
      <c r="T162" s="196"/>
      <c r="U162" s="196"/>
      <c r="V162" s="238">
        <f t="shared" si="80"/>
        <v>293.82360000000011</v>
      </c>
      <c r="W162" s="227">
        <f t="shared" si="81"/>
        <v>2.16</v>
      </c>
      <c r="X162" s="237"/>
      <c r="Y162" s="237"/>
      <c r="Z162" s="237">
        <v>2.16</v>
      </c>
      <c r="AA162" s="237"/>
      <c r="AB162" s="237"/>
      <c r="AC162" s="227">
        <f t="shared" si="82"/>
        <v>0</v>
      </c>
      <c r="AD162" s="239">
        <f t="shared" si="83"/>
        <v>0</v>
      </c>
      <c r="AE162" s="237"/>
      <c r="AF162" s="237"/>
      <c r="AG162" s="237"/>
      <c r="AH162" s="237"/>
      <c r="AI162" s="237"/>
      <c r="AJ162" s="239">
        <f t="shared" si="84"/>
        <v>0</v>
      </c>
      <c r="AK162" s="237"/>
      <c r="AL162" s="237"/>
      <c r="AM162" s="237"/>
      <c r="AN162" s="237"/>
      <c r="AO162" s="237"/>
      <c r="AP162" s="196">
        <v>412.2</v>
      </c>
      <c r="AQ162" s="334">
        <f t="shared" si="85"/>
        <v>0.82129277566539893</v>
      </c>
      <c r="AR162" s="207"/>
      <c r="AS162" s="196"/>
      <c r="AT162" s="196"/>
    </row>
    <row r="163" spans="1:46" hidden="1">
      <c r="A163" s="244">
        <v>19</v>
      </c>
      <c r="B163" s="263" t="s">
        <v>283</v>
      </c>
      <c r="C163" s="263">
        <f t="shared" si="76"/>
        <v>2.6399999999999997</v>
      </c>
      <c r="D163" s="264"/>
      <c r="E163" s="264">
        <v>0.5</v>
      </c>
      <c r="F163" s="264">
        <v>1.06</v>
      </c>
      <c r="G163" s="264">
        <f>0.1+0.28+0.1+0.2+0.2+0.2</f>
        <v>1.0799999999999998</v>
      </c>
      <c r="H163" s="263"/>
      <c r="I163" s="249">
        <f t="shared" si="77"/>
        <v>0</v>
      </c>
      <c r="J163" s="240">
        <f t="shared" si="78"/>
        <v>0</v>
      </c>
      <c r="K163" s="196"/>
      <c r="L163" s="196"/>
      <c r="M163" s="196"/>
      <c r="N163" s="196"/>
      <c r="O163" s="196"/>
      <c r="P163" s="240">
        <f t="shared" si="79"/>
        <v>0</v>
      </c>
      <c r="Q163" s="196"/>
      <c r="R163" s="262"/>
      <c r="S163" s="196"/>
      <c r="T163" s="196"/>
      <c r="U163" s="196"/>
      <c r="V163" s="238">
        <f t="shared" si="80"/>
        <v>325.60079999999999</v>
      </c>
      <c r="W163" s="227">
        <f t="shared" si="81"/>
        <v>2.6179999999999999</v>
      </c>
      <c r="X163" s="237"/>
      <c r="Y163" s="237">
        <v>5.2999999999999999E-2</v>
      </c>
      <c r="Z163" s="237">
        <v>1.286</v>
      </c>
      <c r="AA163" s="237">
        <v>1.2789999999999999</v>
      </c>
      <c r="AB163" s="237"/>
      <c r="AC163" s="227">
        <f t="shared" si="82"/>
        <v>0</v>
      </c>
      <c r="AD163" s="239">
        <f t="shared" si="83"/>
        <v>0</v>
      </c>
      <c r="AE163" s="237"/>
      <c r="AF163" s="237"/>
      <c r="AG163" s="237"/>
      <c r="AH163" s="237"/>
      <c r="AI163" s="237"/>
      <c r="AJ163" s="239">
        <f t="shared" si="84"/>
        <v>0</v>
      </c>
      <c r="AK163" s="237"/>
      <c r="AL163" s="237"/>
      <c r="AM163" s="237"/>
      <c r="AN163" s="237"/>
      <c r="AO163" s="237"/>
      <c r="AP163" s="196">
        <v>295</v>
      </c>
      <c r="AQ163" s="334">
        <f t="shared" si="85"/>
        <v>0.9916666666666667</v>
      </c>
      <c r="AR163" s="207"/>
      <c r="AS163" s="196"/>
      <c r="AT163" s="196"/>
    </row>
    <row r="164" spans="1:46" hidden="1">
      <c r="A164" s="244">
        <v>20</v>
      </c>
      <c r="B164" s="268" t="s">
        <v>284</v>
      </c>
      <c r="C164" s="263">
        <f t="shared" si="76"/>
        <v>1.3445</v>
      </c>
      <c r="D164" s="264"/>
      <c r="E164" s="264">
        <f>0.0355+0.032</f>
        <v>6.7500000000000004E-2</v>
      </c>
      <c r="F164" s="264">
        <f>0.09+0.195+0.126+0.047+0.039+0.065+0.08</f>
        <v>0.64200000000000002</v>
      </c>
      <c r="G164" s="264">
        <f>0.03+0.329+0.276</f>
        <v>0.63500000000000001</v>
      </c>
      <c r="H164" s="263"/>
      <c r="I164" s="249">
        <f t="shared" si="77"/>
        <v>2.38</v>
      </c>
      <c r="J164" s="240">
        <f t="shared" si="78"/>
        <v>0</v>
      </c>
      <c r="K164" s="196"/>
      <c r="L164" s="196"/>
      <c r="M164" s="196"/>
      <c r="N164" s="196"/>
      <c r="O164" s="196"/>
      <c r="P164" s="240">
        <f t="shared" si="79"/>
        <v>2.38</v>
      </c>
      <c r="Q164" s="196"/>
      <c r="R164" s="262">
        <v>2.38</v>
      </c>
      <c r="S164" s="196"/>
      <c r="T164" s="196"/>
      <c r="U164" s="196"/>
      <c r="V164" s="238">
        <f t="shared" si="80"/>
        <v>299.28863999999999</v>
      </c>
      <c r="W164" s="227">
        <f t="shared" si="81"/>
        <v>2.2080000000000002</v>
      </c>
      <c r="X164" s="237"/>
      <c r="Y164" s="237">
        <v>0.70299999999999996</v>
      </c>
      <c r="Z164" s="237">
        <v>0.255</v>
      </c>
      <c r="AA164" s="237">
        <v>1.25</v>
      </c>
      <c r="AB164" s="237"/>
      <c r="AC164" s="227">
        <f t="shared" si="82"/>
        <v>0</v>
      </c>
      <c r="AD164" s="239">
        <f t="shared" si="83"/>
        <v>0</v>
      </c>
      <c r="AE164" s="237"/>
      <c r="AF164" s="237"/>
      <c r="AG164" s="237"/>
      <c r="AH164" s="237"/>
      <c r="AI164" s="237"/>
      <c r="AJ164" s="239">
        <f t="shared" si="84"/>
        <v>0</v>
      </c>
      <c r="AK164" s="237"/>
      <c r="AL164" s="237"/>
      <c r="AM164" s="237"/>
      <c r="AN164" s="237"/>
      <c r="AO164" s="237"/>
      <c r="AP164" s="196">
        <v>154.4</v>
      </c>
      <c r="AQ164" s="334">
        <f t="shared" si="85"/>
        <v>1.6422461881740424</v>
      </c>
      <c r="AR164" s="207">
        <f>AC164/I164</f>
        <v>0</v>
      </c>
      <c r="AS164" s="196"/>
      <c r="AT164" s="196"/>
    </row>
    <row r="165" spans="1:46" hidden="1">
      <c r="A165" s="244">
        <v>21</v>
      </c>
      <c r="B165" s="268" t="s">
        <v>285</v>
      </c>
      <c r="C165" s="263">
        <f t="shared" si="76"/>
        <v>4.1629999999999994</v>
      </c>
      <c r="D165" s="264"/>
      <c r="E165" s="264"/>
      <c r="F165" s="264">
        <f>0.15+0.07+0.08+0.08+0.08+0.03+0.07+0.08+0.1+0.206+0.145+0.165+0.1+0.226+0.05+0.4+0.2+0.14+0.545+0.13+0.07+0.12+0.085+0.08+0.03+0.031+0.03+0.03</f>
        <v>3.5229999999999997</v>
      </c>
      <c r="G165" s="264">
        <f>0.32+0.32</f>
        <v>0.64</v>
      </c>
      <c r="H165" s="263"/>
      <c r="I165" s="249">
        <f t="shared" si="77"/>
        <v>3.5169999999999999</v>
      </c>
      <c r="J165" s="240">
        <f t="shared" si="78"/>
        <v>0</v>
      </c>
      <c r="K165" s="196"/>
      <c r="L165" s="196"/>
      <c r="M165" s="196"/>
      <c r="N165" s="196"/>
      <c r="O165" s="196"/>
      <c r="P165" s="240">
        <f t="shared" si="79"/>
        <v>3.5169999999999999</v>
      </c>
      <c r="Q165" s="196">
        <v>3.2919999999999998</v>
      </c>
      <c r="R165" s="262">
        <v>0.22500000000000001</v>
      </c>
      <c r="S165" s="196"/>
      <c r="T165" s="196"/>
      <c r="U165" s="196"/>
      <c r="V165" s="238">
        <f t="shared" si="80"/>
        <v>717.98299599999984</v>
      </c>
      <c r="W165" s="227">
        <f t="shared" si="81"/>
        <v>4.2</v>
      </c>
      <c r="X165" s="237"/>
      <c r="Y165" s="237"/>
      <c r="Z165" s="237">
        <v>4.2</v>
      </c>
      <c r="AA165" s="237"/>
      <c r="AB165" s="237"/>
      <c r="AC165" s="227">
        <f t="shared" si="82"/>
        <v>0.39500000000000002</v>
      </c>
      <c r="AD165" s="239">
        <f t="shared" si="83"/>
        <v>0</v>
      </c>
      <c r="AE165" s="237"/>
      <c r="AF165" s="237"/>
      <c r="AG165" s="237"/>
      <c r="AH165" s="237"/>
      <c r="AI165" s="237"/>
      <c r="AJ165" s="239">
        <f t="shared" si="84"/>
        <v>0.39500000000000002</v>
      </c>
      <c r="AK165" s="237">
        <v>0.39500000000000002</v>
      </c>
      <c r="AL165" s="237"/>
      <c r="AM165" s="237"/>
      <c r="AN165" s="237"/>
      <c r="AO165" s="237"/>
      <c r="AP165" s="196">
        <v>390</v>
      </c>
      <c r="AQ165" s="334">
        <f t="shared" si="85"/>
        <v>1.008887821282729</v>
      </c>
      <c r="AR165" s="207">
        <f>AC165/I165</f>
        <v>0.11231162922945694</v>
      </c>
      <c r="AS165" s="196"/>
      <c r="AT165" s="196"/>
    </row>
    <row r="166" spans="1:46" hidden="1">
      <c r="A166" s="244">
        <v>22</v>
      </c>
      <c r="B166" s="268" t="s">
        <v>286</v>
      </c>
      <c r="C166" s="263">
        <f t="shared" si="76"/>
        <v>3.915</v>
      </c>
      <c r="D166" s="264"/>
      <c r="E166" s="264">
        <v>1</v>
      </c>
      <c r="F166" s="264">
        <v>2.915</v>
      </c>
      <c r="G166" s="264"/>
      <c r="H166" s="263"/>
      <c r="I166" s="249">
        <f t="shared" si="77"/>
        <v>0.92999999999999994</v>
      </c>
      <c r="J166" s="240">
        <f t="shared" si="78"/>
        <v>0</v>
      </c>
      <c r="K166" s="196"/>
      <c r="L166" s="196"/>
      <c r="M166" s="196"/>
      <c r="N166" s="196"/>
      <c r="O166" s="196"/>
      <c r="P166" s="240">
        <f t="shared" si="79"/>
        <v>0.92999999999999994</v>
      </c>
      <c r="Q166" s="196"/>
      <c r="R166" s="262"/>
      <c r="S166" s="196">
        <v>0.42</v>
      </c>
      <c r="T166" s="196">
        <v>0.51</v>
      </c>
      <c r="U166" s="196"/>
      <c r="V166" s="238">
        <f t="shared" si="80"/>
        <v>555.87930000000006</v>
      </c>
      <c r="W166" s="227">
        <f t="shared" si="81"/>
        <v>3.5740000000000003</v>
      </c>
      <c r="X166" s="237"/>
      <c r="Y166" s="237"/>
      <c r="Z166" s="237">
        <v>3.3330000000000002</v>
      </c>
      <c r="AA166" s="237">
        <v>0.24099999999999999</v>
      </c>
      <c r="AB166" s="237"/>
      <c r="AC166" s="227">
        <f t="shared" si="82"/>
        <v>0.53500000000000003</v>
      </c>
      <c r="AD166" s="239">
        <f t="shared" si="83"/>
        <v>0.06</v>
      </c>
      <c r="AE166" s="237"/>
      <c r="AF166" s="237"/>
      <c r="AG166" s="237"/>
      <c r="AH166" s="237">
        <v>0.06</v>
      </c>
      <c r="AI166" s="237"/>
      <c r="AJ166" s="239">
        <f t="shared" si="84"/>
        <v>0.47500000000000003</v>
      </c>
      <c r="AK166" s="237"/>
      <c r="AL166" s="237"/>
      <c r="AM166" s="237">
        <v>2.5000000000000001E-2</v>
      </c>
      <c r="AN166" s="237">
        <v>0.45</v>
      </c>
      <c r="AO166" s="237"/>
      <c r="AP166" s="196">
        <v>472.09999999999997</v>
      </c>
      <c r="AQ166" s="334">
        <f t="shared" si="85"/>
        <v>0.91289910600255431</v>
      </c>
      <c r="AR166" s="207">
        <f>AC166/I166</f>
        <v>0.57526881720430112</v>
      </c>
      <c r="AS166" s="196"/>
      <c r="AT166" s="196"/>
    </row>
    <row r="167" spans="1:46" hidden="1">
      <c r="A167" s="244">
        <v>23</v>
      </c>
      <c r="B167" s="268" t="s">
        <v>287</v>
      </c>
      <c r="C167" s="263">
        <f t="shared" si="76"/>
        <v>3.9000000000000004</v>
      </c>
      <c r="D167" s="264"/>
      <c r="E167" s="265">
        <f>1+0.5</f>
        <v>1.5</v>
      </c>
      <c r="F167" s="264">
        <v>1.35</v>
      </c>
      <c r="G167" s="264">
        <v>0.8</v>
      </c>
      <c r="H167" s="269">
        <v>0.25</v>
      </c>
      <c r="I167" s="249">
        <f t="shared" si="77"/>
        <v>0</v>
      </c>
      <c r="J167" s="240">
        <f t="shared" si="78"/>
        <v>0</v>
      </c>
      <c r="K167" s="196"/>
      <c r="L167" s="196"/>
      <c r="M167" s="196"/>
      <c r="N167" s="196"/>
      <c r="O167" s="196"/>
      <c r="P167" s="240">
        <f t="shared" si="79"/>
        <v>0</v>
      </c>
      <c r="Q167" s="196"/>
      <c r="R167" s="262"/>
      <c r="S167" s="196"/>
      <c r="T167" s="196"/>
      <c r="U167" s="196"/>
      <c r="V167" s="238">
        <f t="shared" si="80"/>
        <v>531.678</v>
      </c>
      <c r="W167" s="227">
        <f t="shared" si="81"/>
        <v>3.2399999999999998</v>
      </c>
      <c r="X167" s="237"/>
      <c r="Y167" s="237">
        <v>0.48</v>
      </c>
      <c r="Z167" s="237">
        <v>2.4449999999999998</v>
      </c>
      <c r="AA167" s="237">
        <v>0.315</v>
      </c>
      <c r="AB167" s="237"/>
      <c r="AC167" s="227">
        <f t="shared" si="82"/>
        <v>0</v>
      </c>
      <c r="AD167" s="239">
        <f t="shared" si="83"/>
        <v>0</v>
      </c>
      <c r="AE167" s="237"/>
      <c r="AF167" s="237"/>
      <c r="AG167" s="237"/>
      <c r="AH167" s="237"/>
      <c r="AI167" s="237"/>
      <c r="AJ167" s="239">
        <f t="shared" si="84"/>
        <v>0</v>
      </c>
      <c r="AK167" s="237"/>
      <c r="AL167" s="237"/>
      <c r="AM167" s="237"/>
      <c r="AN167" s="237"/>
      <c r="AO167" s="237"/>
      <c r="AP167" s="196">
        <v>396</v>
      </c>
      <c r="AQ167" s="334">
        <f t="shared" si="85"/>
        <v>0.83076923076923059</v>
      </c>
      <c r="AR167" s="207"/>
      <c r="AS167" s="196"/>
      <c r="AT167" s="196"/>
    </row>
    <row r="168" spans="1:46" hidden="1">
      <c r="A168" s="244">
        <v>24</v>
      </c>
      <c r="B168" s="268" t="s">
        <v>288</v>
      </c>
      <c r="C168" s="263">
        <f t="shared" si="76"/>
        <v>3.5</v>
      </c>
      <c r="D168" s="264"/>
      <c r="E168" s="264"/>
      <c r="F168" s="264">
        <v>3.5</v>
      </c>
      <c r="G168" s="264"/>
      <c r="H168" s="263"/>
      <c r="I168" s="249">
        <f t="shared" si="77"/>
        <v>0</v>
      </c>
      <c r="J168" s="240">
        <f t="shared" si="78"/>
        <v>0</v>
      </c>
      <c r="K168" s="196"/>
      <c r="L168" s="196"/>
      <c r="M168" s="196"/>
      <c r="N168" s="196"/>
      <c r="O168" s="196"/>
      <c r="P168" s="240">
        <f t="shared" si="79"/>
        <v>0</v>
      </c>
      <c r="Q168" s="196"/>
      <c r="R168" s="262"/>
      <c r="S168" s="196"/>
      <c r="T168" s="196"/>
      <c r="U168" s="196"/>
      <c r="V168" s="238">
        <f t="shared" si="80"/>
        <v>391.02</v>
      </c>
      <c r="W168" s="227">
        <f t="shared" si="81"/>
        <v>3.84</v>
      </c>
      <c r="X168" s="237"/>
      <c r="Y168" s="237"/>
      <c r="Z168" s="237">
        <v>3.84</v>
      </c>
      <c r="AA168" s="237"/>
      <c r="AB168" s="237"/>
      <c r="AC168" s="227">
        <f t="shared" si="82"/>
        <v>0</v>
      </c>
      <c r="AD168" s="239">
        <f t="shared" si="83"/>
        <v>0</v>
      </c>
      <c r="AE168" s="237"/>
      <c r="AF168" s="237"/>
      <c r="AG168" s="237"/>
      <c r="AH168" s="237"/>
      <c r="AI168" s="237"/>
      <c r="AJ168" s="239">
        <f t="shared" si="84"/>
        <v>0</v>
      </c>
      <c r="AK168" s="237"/>
      <c r="AL168" s="237"/>
      <c r="AM168" s="237"/>
      <c r="AN168" s="237"/>
      <c r="AO168" s="237"/>
      <c r="AP168" s="196">
        <v>390.2</v>
      </c>
      <c r="AQ168" s="334">
        <f t="shared" si="85"/>
        <v>1.0971428571428572</v>
      </c>
      <c r="AR168" s="207"/>
      <c r="AS168" s="196"/>
      <c r="AT168" s="196"/>
    </row>
    <row r="169" spans="1:46" hidden="1">
      <c r="A169" s="244">
        <v>25</v>
      </c>
      <c r="B169" s="268" t="s">
        <v>289</v>
      </c>
      <c r="C169" s="263">
        <f t="shared" si="76"/>
        <v>3.41</v>
      </c>
      <c r="D169" s="264"/>
      <c r="E169" s="264">
        <v>1</v>
      </c>
      <c r="F169" s="264">
        <v>2.41</v>
      </c>
      <c r="G169" s="264"/>
      <c r="H169" s="263"/>
      <c r="I169" s="249">
        <f t="shared" si="77"/>
        <v>0</v>
      </c>
      <c r="J169" s="240">
        <f t="shared" si="78"/>
        <v>0</v>
      </c>
      <c r="K169" s="196"/>
      <c r="L169" s="196"/>
      <c r="M169" s="196"/>
      <c r="N169" s="196"/>
      <c r="O169" s="196"/>
      <c r="P169" s="240">
        <f t="shared" si="79"/>
        <v>0</v>
      </c>
      <c r="Q169" s="196"/>
      <c r="R169" s="262"/>
      <c r="S169" s="196"/>
      <c r="T169" s="196"/>
      <c r="U169" s="196"/>
      <c r="V169" s="238">
        <f t="shared" si="80"/>
        <v>442.28520000000003</v>
      </c>
      <c r="W169" s="227">
        <f t="shared" si="81"/>
        <v>3.8</v>
      </c>
      <c r="X169" s="237"/>
      <c r="Y169" s="237"/>
      <c r="Z169" s="237">
        <v>3.8</v>
      </c>
      <c r="AA169" s="237"/>
      <c r="AB169" s="237"/>
      <c r="AC169" s="227">
        <f t="shared" si="82"/>
        <v>0</v>
      </c>
      <c r="AD169" s="239">
        <f t="shared" si="83"/>
        <v>0</v>
      </c>
      <c r="AE169" s="237"/>
      <c r="AF169" s="237"/>
      <c r="AG169" s="237"/>
      <c r="AH169" s="237"/>
      <c r="AI169" s="237"/>
      <c r="AJ169" s="239">
        <f t="shared" si="84"/>
        <v>0</v>
      </c>
      <c r="AK169" s="237"/>
      <c r="AL169" s="237"/>
      <c r="AM169" s="237"/>
      <c r="AN169" s="237"/>
      <c r="AO169" s="237"/>
      <c r="AP169" s="196">
        <v>382</v>
      </c>
      <c r="AQ169" s="334">
        <f t="shared" si="85"/>
        <v>1.1143695014662756</v>
      </c>
      <c r="AR169" s="207"/>
      <c r="AS169" s="196"/>
      <c r="AT169" s="196"/>
    </row>
    <row r="170" spans="1:46" hidden="1">
      <c r="A170" s="244">
        <v>26</v>
      </c>
      <c r="B170" s="263" t="s">
        <v>290</v>
      </c>
      <c r="C170" s="263">
        <f t="shared" si="76"/>
        <v>3</v>
      </c>
      <c r="D170" s="264"/>
      <c r="E170" s="264">
        <v>1</v>
      </c>
      <c r="F170" s="264">
        <v>1.3</v>
      </c>
      <c r="G170" s="264">
        <v>0.7</v>
      </c>
      <c r="H170" s="263"/>
      <c r="I170" s="249">
        <f t="shared" si="77"/>
        <v>6.5</v>
      </c>
      <c r="J170" s="240">
        <f t="shared" si="78"/>
        <v>0.8</v>
      </c>
      <c r="K170" s="196">
        <v>0.8</v>
      </c>
      <c r="L170" s="196"/>
      <c r="M170" s="196"/>
      <c r="N170" s="196"/>
      <c r="O170" s="196"/>
      <c r="P170" s="240">
        <f t="shared" si="79"/>
        <v>5.7</v>
      </c>
      <c r="Q170" s="196">
        <v>5.7</v>
      </c>
      <c r="R170" s="262"/>
      <c r="S170" s="196"/>
      <c r="T170" s="196"/>
      <c r="U170" s="196"/>
      <c r="V170" s="238">
        <f t="shared" si="80"/>
        <v>879.63459999999998</v>
      </c>
      <c r="W170" s="227">
        <f t="shared" si="81"/>
        <v>0.53500000000000003</v>
      </c>
      <c r="X170" s="237"/>
      <c r="Y170" s="237"/>
      <c r="Z170" s="237">
        <v>0.53500000000000003</v>
      </c>
      <c r="AA170" s="237"/>
      <c r="AB170" s="237"/>
      <c r="AC170" s="227">
        <f t="shared" si="82"/>
        <v>0</v>
      </c>
      <c r="AD170" s="239">
        <f t="shared" si="83"/>
        <v>0</v>
      </c>
      <c r="AE170" s="237"/>
      <c r="AF170" s="237"/>
      <c r="AG170" s="237"/>
      <c r="AH170" s="237"/>
      <c r="AI170" s="237"/>
      <c r="AJ170" s="239">
        <f t="shared" si="84"/>
        <v>0</v>
      </c>
      <c r="AK170" s="237"/>
      <c r="AL170" s="237"/>
      <c r="AM170" s="237"/>
      <c r="AN170" s="237"/>
      <c r="AO170" s="237"/>
      <c r="AP170" s="196">
        <v>84.5</v>
      </c>
      <c r="AQ170" s="334">
        <f t="shared" si="85"/>
        <v>0.17833333333333334</v>
      </c>
      <c r="AR170" s="207">
        <f>AC170/I170</f>
        <v>0</v>
      </c>
      <c r="AS170" s="196"/>
      <c r="AT170" s="196"/>
    </row>
    <row r="171" spans="1:46" hidden="1">
      <c r="A171" s="244">
        <v>27</v>
      </c>
      <c r="B171" s="263" t="s">
        <v>291</v>
      </c>
      <c r="C171" s="263">
        <f t="shared" si="76"/>
        <v>5.0999999999999996</v>
      </c>
      <c r="D171" s="264"/>
      <c r="E171" s="264">
        <v>1.1000000000000001</v>
      </c>
      <c r="F171" s="264">
        <f>0.18+0.08+0.1+0.12+0.23+0.06+0.03+0.09+0.13+0.14+0.116+0.09+0.06+0.05+0.06+0.068+0.186+0.03+0.18+0.04+0.04+0.03+0.135+0.1+0.025+0.135+0.065+0.075+0.105+0.35+0.05+0.1+0.25+0.1+0.2+0.1+0.1</f>
        <v>4</v>
      </c>
      <c r="G171" s="264"/>
      <c r="H171" s="263"/>
      <c r="I171" s="249">
        <f t="shared" si="77"/>
        <v>0.68</v>
      </c>
      <c r="J171" s="240">
        <f t="shared" si="78"/>
        <v>0</v>
      </c>
      <c r="K171" s="196"/>
      <c r="L171" s="196"/>
      <c r="M171" s="196"/>
      <c r="N171" s="196"/>
      <c r="O171" s="196"/>
      <c r="P171" s="240">
        <f t="shared" si="79"/>
        <v>0.68</v>
      </c>
      <c r="Q171" s="196"/>
      <c r="R171" s="262">
        <v>0.68</v>
      </c>
      <c r="S171" s="196"/>
      <c r="T171" s="196"/>
      <c r="U171" s="196"/>
      <c r="V171" s="238">
        <f t="shared" si="80"/>
        <v>678.63599999999997</v>
      </c>
      <c r="W171" s="227">
        <f t="shared" si="81"/>
        <v>5.1110000000000007</v>
      </c>
      <c r="X171" s="237"/>
      <c r="Y171" s="237">
        <v>0.11799999999999999</v>
      </c>
      <c r="Z171" s="237">
        <v>4.9930000000000003</v>
      </c>
      <c r="AA171" s="237"/>
      <c r="AB171" s="237"/>
      <c r="AC171" s="227">
        <f t="shared" si="82"/>
        <v>0</v>
      </c>
      <c r="AD171" s="239">
        <f t="shared" si="83"/>
        <v>0</v>
      </c>
      <c r="AE171" s="237"/>
      <c r="AF171" s="237"/>
      <c r="AG171" s="237"/>
      <c r="AH171" s="237"/>
      <c r="AI171" s="237"/>
      <c r="AJ171" s="239">
        <f t="shared" si="84"/>
        <v>0</v>
      </c>
      <c r="AK171" s="237"/>
      <c r="AL171" s="237"/>
      <c r="AM171" s="237"/>
      <c r="AN171" s="237"/>
      <c r="AO171" s="237"/>
      <c r="AP171" s="196">
        <v>625</v>
      </c>
      <c r="AQ171" s="334">
        <f t="shared" si="85"/>
        <v>1.0021568627450983</v>
      </c>
      <c r="AR171" s="207">
        <f>AC171/I171</f>
        <v>0</v>
      </c>
      <c r="AS171" s="196"/>
      <c r="AT171" s="196"/>
    </row>
    <row r="172" spans="1:46" hidden="1">
      <c r="A172" s="244">
        <v>28</v>
      </c>
      <c r="B172" s="263" t="s">
        <v>292</v>
      </c>
      <c r="C172" s="263">
        <f t="shared" si="76"/>
        <v>2.2669999999999999</v>
      </c>
      <c r="D172" s="264"/>
      <c r="E172" s="264"/>
      <c r="F172" s="264">
        <v>1.0669999999999999</v>
      </c>
      <c r="G172" s="264">
        <v>1.2</v>
      </c>
      <c r="H172" s="263"/>
      <c r="I172" s="249">
        <f t="shared" si="77"/>
        <v>0</v>
      </c>
      <c r="J172" s="240">
        <f t="shared" si="78"/>
        <v>0</v>
      </c>
      <c r="K172" s="196"/>
      <c r="L172" s="196"/>
      <c r="M172" s="196"/>
      <c r="N172" s="196"/>
      <c r="O172" s="196"/>
      <c r="P172" s="240">
        <f t="shared" si="79"/>
        <v>0</v>
      </c>
      <c r="Q172" s="196"/>
      <c r="R172" s="262"/>
      <c r="S172" s="196"/>
      <c r="T172" s="196"/>
      <c r="U172" s="196"/>
      <c r="V172" s="238">
        <f t="shared" si="80"/>
        <v>253.26923999999997</v>
      </c>
      <c r="W172" s="227">
        <f t="shared" si="81"/>
        <v>3.19</v>
      </c>
      <c r="X172" s="237"/>
      <c r="Y172" s="237"/>
      <c r="Z172" s="237">
        <v>3.19</v>
      </c>
      <c r="AA172" s="237"/>
      <c r="AB172" s="237"/>
      <c r="AC172" s="227">
        <f t="shared" si="82"/>
        <v>0</v>
      </c>
      <c r="AD172" s="239">
        <f t="shared" si="83"/>
        <v>0</v>
      </c>
      <c r="AE172" s="237"/>
      <c r="AF172" s="237"/>
      <c r="AG172" s="237"/>
      <c r="AH172" s="237"/>
      <c r="AI172" s="237"/>
      <c r="AJ172" s="239">
        <f t="shared" si="84"/>
        <v>0</v>
      </c>
      <c r="AK172" s="237"/>
      <c r="AL172" s="237"/>
      <c r="AM172" s="237"/>
      <c r="AN172" s="237"/>
      <c r="AO172" s="237"/>
      <c r="AP172" s="196">
        <v>356</v>
      </c>
      <c r="AQ172" s="334">
        <f t="shared" si="85"/>
        <v>1.4071460079400089</v>
      </c>
      <c r="AR172" s="207"/>
      <c r="AS172" s="196"/>
      <c r="AT172" s="196"/>
    </row>
    <row r="173" spans="1:46" hidden="1">
      <c r="A173" s="244">
        <v>29</v>
      </c>
      <c r="B173" s="263" t="s">
        <v>293</v>
      </c>
      <c r="C173" s="263">
        <f t="shared" si="76"/>
        <v>1</v>
      </c>
      <c r="D173" s="264"/>
      <c r="E173" s="264"/>
      <c r="F173" s="264">
        <v>1</v>
      </c>
      <c r="G173" s="264"/>
      <c r="H173" s="263"/>
      <c r="I173" s="249">
        <f t="shared" si="77"/>
        <v>0</v>
      </c>
      <c r="J173" s="240">
        <f t="shared" si="78"/>
        <v>0</v>
      </c>
      <c r="K173" s="196"/>
      <c r="L173" s="196"/>
      <c r="M173" s="196"/>
      <c r="N173" s="196"/>
      <c r="O173" s="196"/>
      <c r="P173" s="240">
        <f t="shared" si="79"/>
        <v>0</v>
      </c>
      <c r="Q173" s="196"/>
      <c r="R173" s="262"/>
      <c r="S173" s="196"/>
      <c r="T173" s="196"/>
      <c r="U173" s="196"/>
      <c r="V173" s="238">
        <f t="shared" si="80"/>
        <v>111.72</v>
      </c>
      <c r="W173" s="227">
        <f t="shared" si="81"/>
        <v>0.95300000000000007</v>
      </c>
      <c r="X173" s="237"/>
      <c r="Y173" s="237">
        <v>0.33</v>
      </c>
      <c r="Z173" s="237">
        <v>0.623</v>
      </c>
      <c r="AA173" s="237"/>
      <c r="AB173" s="237"/>
      <c r="AC173" s="227">
        <f t="shared" si="82"/>
        <v>0.36399999999999999</v>
      </c>
      <c r="AD173" s="239">
        <f t="shared" si="83"/>
        <v>0</v>
      </c>
      <c r="AE173" s="237"/>
      <c r="AF173" s="237"/>
      <c r="AG173" s="237"/>
      <c r="AH173" s="237"/>
      <c r="AI173" s="237"/>
      <c r="AJ173" s="239">
        <f t="shared" si="84"/>
        <v>0.36399999999999999</v>
      </c>
      <c r="AK173" s="237"/>
      <c r="AL173" s="237"/>
      <c r="AM173" s="237">
        <v>0.36399999999999999</v>
      </c>
      <c r="AN173" s="237"/>
      <c r="AO173" s="237"/>
      <c r="AP173" s="196">
        <v>155.5</v>
      </c>
      <c r="AQ173" s="334">
        <f t="shared" si="85"/>
        <v>0.95300000000000007</v>
      </c>
      <c r="AR173" s="207"/>
      <c r="AS173" s="196"/>
      <c r="AT173" s="196"/>
    </row>
    <row r="174" spans="1:46" hidden="1">
      <c r="A174" s="244">
        <v>30</v>
      </c>
      <c r="B174" s="263" t="s">
        <v>294</v>
      </c>
      <c r="C174" s="263">
        <f t="shared" si="76"/>
        <v>1</v>
      </c>
      <c r="D174" s="264"/>
      <c r="E174" s="264"/>
      <c r="F174" s="264">
        <v>1</v>
      </c>
      <c r="G174" s="264"/>
      <c r="H174" s="263"/>
      <c r="I174" s="249">
        <f t="shared" si="77"/>
        <v>1.24</v>
      </c>
      <c r="J174" s="240">
        <f t="shared" si="78"/>
        <v>0.35</v>
      </c>
      <c r="K174" s="196"/>
      <c r="L174" s="196"/>
      <c r="M174" s="196">
        <v>0.35</v>
      </c>
      <c r="N174" s="196"/>
      <c r="O174" s="196"/>
      <c r="P174" s="240">
        <f t="shared" si="79"/>
        <v>0.89</v>
      </c>
      <c r="Q174" s="196"/>
      <c r="R174" s="262"/>
      <c r="S174" s="196">
        <v>0.89</v>
      </c>
      <c r="T174" s="196"/>
      <c r="U174" s="196"/>
      <c r="V174" s="238">
        <f t="shared" si="80"/>
        <v>207.78838999999999</v>
      </c>
      <c r="W174" s="227">
        <f t="shared" si="81"/>
        <v>1.163</v>
      </c>
      <c r="X174" s="237"/>
      <c r="Y174" s="237"/>
      <c r="Z174" s="237">
        <v>1.163</v>
      </c>
      <c r="AA174" s="237"/>
      <c r="AB174" s="237"/>
      <c r="AC174" s="227">
        <f t="shared" si="82"/>
        <v>0.21300000000000002</v>
      </c>
      <c r="AD174" s="239">
        <f t="shared" si="83"/>
        <v>0.21300000000000002</v>
      </c>
      <c r="AE174" s="237"/>
      <c r="AF174" s="237"/>
      <c r="AG174" s="237">
        <v>0.21300000000000002</v>
      </c>
      <c r="AH174" s="237"/>
      <c r="AI174" s="237"/>
      <c r="AJ174" s="239">
        <f t="shared" si="84"/>
        <v>0</v>
      </c>
      <c r="AK174" s="237"/>
      <c r="AL174" s="237"/>
      <c r="AM174" s="237"/>
      <c r="AN174" s="237"/>
      <c r="AO174" s="237"/>
      <c r="AP174" s="196">
        <v>147</v>
      </c>
      <c r="AQ174" s="334">
        <f t="shared" si="85"/>
        <v>1.163</v>
      </c>
      <c r="AR174" s="207">
        <f>AC174/I174</f>
        <v>0.17177419354838711</v>
      </c>
      <c r="AS174" s="196"/>
      <c r="AT174" s="196"/>
    </row>
    <row r="175" spans="1:46" hidden="1">
      <c r="A175" s="177" t="s">
        <v>26</v>
      </c>
      <c r="B175" s="178" t="s">
        <v>295</v>
      </c>
      <c r="C175" s="196"/>
      <c r="D175" s="196"/>
      <c r="E175" s="196"/>
      <c r="F175" s="196"/>
      <c r="G175" s="196"/>
      <c r="H175" s="196"/>
      <c r="I175" s="196"/>
      <c r="J175" s="196"/>
      <c r="K175" s="196"/>
      <c r="L175" s="196"/>
      <c r="M175" s="196"/>
      <c r="N175" s="196"/>
      <c r="O175" s="196"/>
      <c r="P175" s="196"/>
      <c r="Q175" s="196"/>
      <c r="R175" s="262"/>
      <c r="S175" s="196"/>
      <c r="T175" s="196"/>
      <c r="U175" s="196"/>
      <c r="V175" s="238"/>
      <c r="W175" s="196"/>
      <c r="X175" s="196"/>
      <c r="Y175" s="196"/>
      <c r="Z175" s="196"/>
      <c r="AA175" s="196"/>
      <c r="AB175" s="196"/>
      <c r="AC175" s="196"/>
      <c r="AD175" s="196"/>
      <c r="AE175" s="196"/>
      <c r="AF175" s="196"/>
      <c r="AG175" s="196"/>
      <c r="AH175" s="196"/>
      <c r="AI175" s="196"/>
      <c r="AJ175" s="196"/>
      <c r="AK175" s="196"/>
      <c r="AL175" s="196"/>
      <c r="AM175" s="196"/>
      <c r="AN175" s="196"/>
      <c r="AO175" s="196"/>
      <c r="AP175" s="196"/>
      <c r="AQ175" s="245"/>
      <c r="AR175" s="196"/>
      <c r="AS175" s="196"/>
      <c r="AT175" s="196"/>
    </row>
    <row r="176" spans="1:46" hidden="1">
      <c r="A176" s="244">
        <v>1</v>
      </c>
      <c r="B176" s="263" t="s">
        <v>296</v>
      </c>
      <c r="C176" s="214">
        <f>D176+E176+F176+G176</f>
        <v>3.25</v>
      </c>
      <c r="D176" s="264"/>
      <c r="E176" s="263">
        <v>1.1100000000000001</v>
      </c>
      <c r="F176" s="245">
        <v>2.14</v>
      </c>
      <c r="G176" s="263"/>
      <c r="H176" s="196"/>
      <c r="I176" s="249">
        <f>J176+P176</f>
        <v>1</v>
      </c>
      <c r="J176" s="240">
        <f>SUM(K176:O176)</f>
        <v>1</v>
      </c>
      <c r="K176" s="196">
        <v>1</v>
      </c>
      <c r="L176" s="196"/>
      <c r="M176" s="196"/>
      <c r="N176" s="196"/>
      <c r="O176" s="196"/>
      <c r="P176" s="240">
        <f>SUM(Q176:U176)</f>
        <v>0</v>
      </c>
      <c r="Q176" s="196"/>
      <c r="R176" s="262"/>
      <c r="S176" s="196"/>
      <c r="T176" s="196"/>
      <c r="U176" s="196"/>
      <c r="V176" s="238">
        <f>D176*194.67+E176*173.04+F176*111.72+G176*111.72+H176*127.68+K176*86.255+L176*71.648+M176*84.489+N176*58.258+O176*53.065+Q176*72.658+R176*60.9+S176*74.716+T176*50.578+U176*46.62</f>
        <v>517.41020000000003</v>
      </c>
      <c r="W176" s="227">
        <f>SUM(X176:AB176)</f>
        <v>3.407</v>
      </c>
      <c r="X176" s="237"/>
      <c r="Y176" s="237">
        <v>1.464</v>
      </c>
      <c r="Z176" s="237">
        <v>1.9430000000000001</v>
      </c>
      <c r="AA176" s="237"/>
      <c r="AB176" s="237"/>
      <c r="AC176" s="227">
        <f>AD176+AJ176</f>
        <v>0</v>
      </c>
      <c r="AD176" s="239">
        <f>SUM(AE176:AI176)</f>
        <v>0</v>
      </c>
      <c r="AE176" s="237"/>
      <c r="AF176" s="237"/>
      <c r="AG176" s="237"/>
      <c r="AH176" s="237"/>
      <c r="AI176" s="237"/>
      <c r="AJ176" s="239">
        <f>SUM(AK176:AO176)</f>
        <v>0</v>
      </c>
      <c r="AK176" s="237"/>
      <c r="AL176" s="237"/>
      <c r="AM176" s="237"/>
      <c r="AN176" s="237"/>
      <c r="AO176" s="237"/>
      <c r="AP176" s="196">
        <v>455.6</v>
      </c>
      <c r="AQ176" s="334">
        <f>W176/C176</f>
        <v>1.0483076923076924</v>
      </c>
      <c r="AR176" s="207">
        <f>AC176/I176</f>
        <v>0</v>
      </c>
      <c r="AS176" s="196"/>
      <c r="AT176" s="196"/>
    </row>
    <row r="177" spans="1:46" hidden="1">
      <c r="A177" s="196"/>
      <c r="B177" s="241" t="s">
        <v>1</v>
      </c>
      <c r="C177" s="227">
        <f t="shared" ref="C177:AT177" si="87">SUM(C145:C176)</f>
        <v>89.434499999999986</v>
      </c>
      <c r="D177" s="227">
        <f t="shared" si="87"/>
        <v>0.6</v>
      </c>
      <c r="E177" s="227">
        <f t="shared" si="87"/>
        <v>19.310500000000001</v>
      </c>
      <c r="F177" s="227">
        <f t="shared" si="87"/>
        <v>50.889000000000003</v>
      </c>
      <c r="G177" s="227">
        <f t="shared" si="87"/>
        <v>18.385000000000002</v>
      </c>
      <c r="H177" s="227">
        <f t="shared" si="87"/>
        <v>0.25</v>
      </c>
      <c r="I177" s="227">
        <f t="shared" si="87"/>
        <v>44.03</v>
      </c>
      <c r="J177" s="227">
        <f t="shared" si="87"/>
        <v>8.9899999999999984</v>
      </c>
      <c r="K177" s="227">
        <f t="shared" si="87"/>
        <v>6.05</v>
      </c>
      <c r="L177" s="227">
        <f t="shared" si="87"/>
        <v>2.41</v>
      </c>
      <c r="M177" s="227">
        <f t="shared" si="87"/>
        <v>0.53</v>
      </c>
      <c r="N177" s="227">
        <f t="shared" si="87"/>
        <v>0</v>
      </c>
      <c r="O177" s="227">
        <f t="shared" si="87"/>
        <v>0</v>
      </c>
      <c r="P177" s="227">
        <f t="shared" si="87"/>
        <v>35.04</v>
      </c>
      <c r="Q177" s="227">
        <f t="shared" si="87"/>
        <v>18.36</v>
      </c>
      <c r="R177" s="227">
        <f t="shared" si="87"/>
        <v>9.19</v>
      </c>
      <c r="S177" s="227">
        <f t="shared" si="87"/>
        <v>1.88</v>
      </c>
      <c r="T177" s="227">
        <f t="shared" si="87"/>
        <v>5.6099999999999994</v>
      </c>
      <c r="U177" s="227">
        <f t="shared" si="87"/>
        <v>0</v>
      </c>
      <c r="V177" s="242">
        <f t="shared" si="87"/>
        <v>14286.67634</v>
      </c>
      <c r="W177" s="227">
        <f t="shared" si="87"/>
        <v>86.225000000000009</v>
      </c>
      <c r="X177" s="227">
        <f t="shared" si="87"/>
        <v>0.6</v>
      </c>
      <c r="Y177" s="227">
        <f t="shared" si="87"/>
        <v>13.956</v>
      </c>
      <c r="Z177" s="227">
        <f t="shared" si="87"/>
        <v>65.945999999999998</v>
      </c>
      <c r="AA177" s="227">
        <f t="shared" si="87"/>
        <v>5.7229999999999999</v>
      </c>
      <c r="AB177" s="227">
        <f t="shared" si="87"/>
        <v>0</v>
      </c>
      <c r="AC177" s="227">
        <f t="shared" si="87"/>
        <v>2.528</v>
      </c>
      <c r="AD177" s="227">
        <f t="shared" si="87"/>
        <v>0.39100000000000001</v>
      </c>
      <c r="AE177" s="227">
        <f t="shared" si="87"/>
        <v>0</v>
      </c>
      <c r="AF177" s="227">
        <f t="shared" si="87"/>
        <v>0.11799999999999999</v>
      </c>
      <c r="AG177" s="227">
        <f t="shared" si="87"/>
        <v>0.21300000000000002</v>
      </c>
      <c r="AH177" s="227">
        <f t="shared" si="87"/>
        <v>0.06</v>
      </c>
      <c r="AI177" s="227">
        <f t="shared" si="87"/>
        <v>0</v>
      </c>
      <c r="AJ177" s="227">
        <f t="shared" si="87"/>
        <v>2.137</v>
      </c>
      <c r="AK177" s="227">
        <f t="shared" si="87"/>
        <v>0.68700000000000006</v>
      </c>
      <c r="AL177" s="227">
        <f t="shared" si="87"/>
        <v>0.221</v>
      </c>
      <c r="AM177" s="227">
        <f t="shared" si="87"/>
        <v>0.38900000000000001</v>
      </c>
      <c r="AN177" s="227">
        <f t="shared" si="87"/>
        <v>0.84</v>
      </c>
      <c r="AO177" s="227">
        <f t="shared" si="87"/>
        <v>0</v>
      </c>
      <c r="AP177" s="242">
        <f t="shared" si="87"/>
        <v>9870.6149999999998</v>
      </c>
      <c r="AQ177" s="335">
        <f t="shared" si="87"/>
        <v>36.139312491651012</v>
      </c>
      <c r="AR177" s="227">
        <f t="shared" si="87"/>
        <v>1.1544472325747377</v>
      </c>
      <c r="AS177" s="227">
        <f t="shared" si="87"/>
        <v>0</v>
      </c>
      <c r="AT177" s="227">
        <f t="shared" si="87"/>
        <v>0</v>
      </c>
    </row>
    <row r="178" spans="1:46" hidden="1"/>
    <row r="179" spans="1:46" hidden="1">
      <c r="B179" s="538" t="s">
        <v>190</v>
      </c>
      <c r="C179" s="539"/>
      <c r="D179" s="539"/>
      <c r="E179" s="539"/>
      <c r="F179" s="539"/>
      <c r="V179" s="173" t="s">
        <v>191</v>
      </c>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331"/>
    </row>
    <row r="180" spans="1:46" hidden="1">
      <c r="B180" s="540" t="s">
        <v>297</v>
      </c>
      <c r="C180" s="541"/>
      <c r="D180" s="541"/>
      <c r="E180" s="541"/>
      <c r="F180" s="541"/>
      <c r="V180" s="173" t="s">
        <v>193</v>
      </c>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331"/>
    </row>
    <row r="181" spans="1:46" hidden="1">
      <c r="B181" s="172"/>
      <c r="C181" s="172"/>
      <c r="D181" s="172"/>
      <c r="E181" s="172"/>
      <c r="F181" s="172"/>
      <c r="V181" s="173"/>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331"/>
    </row>
    <row r="182" spans="1:46" hidden="1">
      <c r="A182" s="542" t="str">
        <f>A5</f>
        <v>Biểu 5: KẾT QUẢ THỰC HIỆN KẾ HOẠCH LÀM ĐƯỜNG GTNT, RÃNH THOÁT NƯỚC THEO CƠ CHẾ HỖ TRỢ XI MĂNG ĐẾN NGÀY 19/12/2016</v>
      </c>
      <c r="B182" s="542"/>
      <c r="C182" s="542"/>
      <c r="D182" s="542"/>
      <c r="E182" s="542"/>
      <c r="F182" s="542"/>
      <c r="G182" s="542"/>
      <c r="H182" s="542"/>
      <c r="I182" s="542"/>
      <c r="J182" s="542"/>
      <c r="K182" s="542"/>
      <c r="L182" s="542"/>
      <c r="M182" s="542"/>
      <c r="N182" s="542"/>
      <c r="O182" s="542"/>
      <c r="P182" s="542"/>
      <c r="Q182" s="542"/>
      <c r="R182" s="542"/>
      <c r="S182" s="542"/>
      <c r="T182" s="542"/>
      <c r="U182" s="542"/>
      <c r="V182" s="542"/>
      <c r="W182" s="542"/>
      <c r="X182" s="542"/>
      <c r="Y182" s="542"/>
      <c r="Z182" s="542"/>
      <c r="AA182" s="542"/>
      <c r="AB182" s="542"/>
      <c r="AC182" s="542"/>
      <c r="AD182" s="542"/>
      <c r="AE182" s="542"/>
      <c r="AF182" s="542"/>
      <c r="AG182" s="542"/>
      <c r="AH182" s="542"/>
      <c r="AI182" s="542"/>
      <c r="AJ182" s="542"/>
      <c r="AK182" s="542"/>
      <c r="AL182" s="542"/>
      <c r="AM182" s="542"/>
      <c r="AN182" s="542"/>
      <c r="AO182" s="542"/>
      <c r="AP182" s="542"/>
      <c r="AQ182" s="542"/>
      <c r="AR182" s="542"/>
      <c r="AS182" s="542"/>
      <c r="AT182" s="542"/>
    </row>
    <row r="183" spans="1:46" hidden="1">
      <c r="A183" s="543"/>
      <c r="B183" s="543"/>
      <c r="C183" s="543"/>
      <c r="D183" s="543"/>
      <c r="E183" s="543"/>
      <c r="F183" s="543"/>
      <c r="G183" s="543"/>
      <c r="H183" s="543"/>
      <c r="I183" s="543"/>
      <c r="J183" s="543"/>
      <c r="K183" s="543"/>
      <c r="L183" s="543"/>
      <c r="M183" s="543"/>
      <c r="N183" s="543"/>
      <c r="O183" s="543"/>
      <c r="P183" s="543"/>
      <c r="Q183" s="543"/>
      <c r="R183" s="543"/>
      <c r="S183" s="543"/>
      <c r="T183" s="543"/>
      <c r="U183" s="543"/>
      <c r="V183" s="543"/>
      <c r="W183" s="543"/>
      <c r="X183" s="543"/>
      <c r="Y183" s="543"/>
      <c r="Z183" s="543"/>
      <c r="AA183" s="543"/>
      <c r="AB183" s="543"/>
      <c r="AC183" s="543"/>
      <c r="AD183" s="543"/>
      <c r="AE183" s="543"/>
      <c r="AF183" s="543"/>
      <c r="AG183" s="543"/>
      <c r="AH183" s="543"/>
      <c r="AI183" s="543"/>
      <c r="AJ183" s="543"/>
      <c r="AK183" s="543"/>
      <c r="AL183" s="543"/>
      <c r="AM183" s="543"/>
      <c r="AN183" s="543"/>
      <c r="AO183" s="543"/>
      <c r="AP183" s="543"/>
      <c r="AQ183" s="543"/>
      <c r="AR183" s="543"/>
      <c r="AS183" s="543"/>
      <c r="AT183" s="543"/>
    </row>
    <row r="184" spans="1:46" ht="14.25" hidden="1" customHeight="1">
      <c r="A184" s="544" t="s">
        <v>0</v>
      </c>
      <c r="B184" s="533" t="s">
        <v>161</v>
      </c>
      <c r="C184" s="546" t="s">
        <v>162</v>
      </c>
      <c r="D184" s="546"/>
      <c r="E184" s="546"/>
      <c r="F184" s="546"/>
      <c r="G184" s="546"/>
      <c r="H184" s="546"/>
      <c r="I184" s="546"/>
      <c r="J184" s="546"/>
      <c r="K184" s="546"/>
      <c r="L184" s="546"/>
      <c r="M184" s="546"/>
      <c r="N184" s="546"/>
      <c r="O184" s="546"/>
      <c r="P184" s="546"/>
      <c r="Q184" s="546"/>
      <c r="R184" s="546"/>
      <c r="S184" s="546"/>
      <c r="T184" s="546"/>
      <c r="U184" s="546"/>
      <c r="V184" s="546"/>
      <c r="W184" s="547" t="s">
        <v>163</v>
      </c>
      <c r="X184" s="547"/>
      <c r="Y184" s="547"/>
      <c r="Z184" s="547"/>
      <c r="AA184" s="547"/>
      <c r="AB184" s="547"/>
      <c r="AC184" s="547"/>
      <c r="AD184" s="547"/>
      <c r="AE184" s="547"/>
      <c r="AF184" s="547"/>
      <c r="AG184" s="547"/>
      <c r="AH184" s="547"/>
      <c r="AI184" s="547"/>
      <c r="AJ184" s="547"/>
      <c r="AK184" s="547"/>
      <c r="AL184" s="547"/>
      <c r="AM184" s="547"/>
      <c r="AN184" s="547"/>
      <c r="AO184" s="547"/>
      <c r="AP184" s="547"/>
      <c r="AQ184" s="547" t="s">
        <v>164</v>
      </c>
      <c r="AR184" s="547"/>
      <c r="AS184" s="547" t="s">
        <v>165</v>
      </c>
      <c r="AT184" s="547"/>
    </row>
    <row r="185" spans="1:46" ht="15" hidden="1" customHeight="1">
      <c r="A185" s="545"/>
      <c r="B185" s="534"/>
      <c r="C185" s="533" t="s">
        <v>166</v>
      </c>
      <c r="D185" s="536" t="s">
        <v>167</v>
      </c>
      <c r="E185" s="536"/>
      <c r="F185" s="536"/>
      <c r="G185" s="536"/>
      <c r="H185" s="536"/>
      <c r="I185" s="533" t="s">
        <v>168</v>
      </c>
      <c r="J185" s="537" t="s">
        <v>167</v>
      </c>
      <c r="K185" s="537"/>
      <c r="L185" s="537"/>
      <c r="M185" s="537"/>
      <c r="N185" s="537"/>
      <c r="O185" s="537"/>
      <c r="P185" s="537"/>
      <c r="Q185" s="537"/>
      <c r="R185" s="537"/>
      <c r="S185" s="537"/>
      <c r="T185" s="537"/>
      <c r="U185" s="537"/>
      <c r="V185" s="552" t="s">
        <v>169</v>
      </c>
      <c r="W185" s="533" t="s">
        <v>170</v>
      </c>
      <c r="X185" s="555" t="s">
        <v>167</v>
      </c>
      <c r="Y185" s="555"/>
      <c r="Z185" s="555"/>
      <c r="AA185" s="555"/>
      <c r="AB185" s="555"/>
      <c r="AC185" s="533" t="s">
        <v>168</v>
      </c>
      <c r="AD185" s="537" t="s">
        <v>167</v>
      </c>
      <c r="AE185" s="537"/>
      <c r="AF185" s="537"/>
      <c r="AG185" s="537"/>
      <c r="AH185" s="537"/>
      <c r="AI185" s="537"/>
      <c r="AJ185" s="537"/>
      <c r="AK185" s="537"/>
      <c r="AL185" s="537"/>
      <c r="AM185" s="537"/>
      <c r="AN185" s="537"/>
      <c r="AO185" s="537"/>
      <c r="AP185" s="552" t="s">
        <v>171</v>
      </c>
      <c r="AQ185" s="548" t="s">
        <v>172</v>
      </c>
      <c r="AR185" s="548" t="s">
        <v>173</v>
      </c>
      <c r="AS185" s="548" t="s">
        <v>170</v>
      </c>
      <c r="AT185" s="548" t="s">
        <v>168</v>
      </c>
    </row>
    <row r="186" spans="1:46" ht="15" hidden="1" customHeight="1">
      <c r="A186" s="545"/>
      <c r="B186" s="534"/>
      <c r="C186" s="534"/>
      <c r="D186" s="552" t="s">
        <v>174</v>
      </c>
      <c r="E186" s="552" t="s">
        <v>175</v>
      </c>
      <c r="F186" s="552" t="s">
        <v>176</v>
      </c>
      <c r="G186" s="552" t="s">
        <v>177</v>
      </c>
      <c r="H186" s="552" t="s">
        <v>178</v>
      </c>
      <c r="I186" s="534"/>
      <c r="J186" s="537" t="s">
        <v>179</v>
      </c>
      <c r="K186" s="537"/>
      <c r="L186" s="537"/>
      <c r="M186" s="537"/>
      <c r="N186" s="537"/>
      <c r="O186" s="537"/>
      <c r="P186" s="537" t="s">
        <v>180</v>
      </c>
      <c r="Q186" s="537"/>
      <c r="R186" s="537"/>
      <c r="S186" s="537"/>
      <c r="T186" s="537"/>
      <c r="U186" s="537"/>
      <c r="V186" s="553"/>
      <c r="W186" s="534"/>
      <c r="X186" s="552" t="s">
        <v>174</v>
      </c>
      <c r="Y186" s="552" t="s">
        <v>175</v>
      </c>
      <c r="Z186" s="552" t="s">
        <v>176</v>
      </c>
      <c r="AA186" s="552" t="s">
        <v>177</v>
      </c>
      <c r="AB186" s="552" t="s">
        <v>178</v>
      </c>
      <c r="AC186" s="534"/>
      <c r="AD186" s="537" t="s">
        <v>179</v>
      </c>
      <c r="AE186" s="537"/>
      <c r="AF186" s="537"/>
      <c r="AG186" s="537"/>
      <c r="AH186" s="537"/>
      <c r="AI186" s="537"/>
      <c r="AJ186" s="537" t="s">
        <v>180</v>
      </c>
      <c r="AK186" s="537"/>
      <c r="AL186" s="537"/>
      <c r="AM186" s="537"/>
      <c r="AN186" s="537"/>
      <c r="AO186" s="537"/>
      <c r="AP186" s="553"/>
      <c r="AQ186" s="549"/>
      <c r="AR186" s="549"/>
      <c r="AS186" s="549"/>
      <c r="AT186" s="549"/>
    </row>
    <row r="187" spans="1:46" ht="15.5" hidden="1">
      <c r="A187" s="179"/>
      <c r="B187" s="534"/>
      <c r="C187" s="534"/>
      <c r="D187" s="553"/>
      <c r="E187" s="553"/>
      <c r="F187" s="553"/>
      <c r="G187" s="553"/>
      <c r="H187" s="553"/>
      <c r="I187" s="534"/>
      <c r="J187" s="556" t="s">
        <v>1</v>
      </c>
      <c r="K187" s="551" t="s">
        <v>181</v>
      </c>
      <c r="L187" s="551"/>
      <c r="M187" s="551" t="s">
        <v>182</v>
      </c>
      <c r="N187" s="551"/>
      <c r="O187" s="551" t="s">
        <v>183</v>
      </c>
      <c r="P187" s="556" t="s">
        <v>1</v>
      </c>
      <c r="Q187" s="551" t="s">
        <v>181</v>
      </c>
      <c r="R187" s="551"/>
      <c r="S187" s="551" t="s">
        <v>182</v>
      </c>
      <c r="T187" s="551"/>
      <c r="U187" s="551" t="s">
        <v>183</v>
      </c>
      <c r="V187" s="553"/>
      <c r="W187" s="534"/>
      <c r="X187" s="553"/>
      <c r="Y187" s="553"/>
      <c r="Z187" s="553"/>
      <c r="AA187" s="553"/>
      <c r="AB187" s="553"/>
      <c r="AC187" s="534"/>
      <c r="AD187" s="556" t="s">
        <v>1</v>
      </c>
      <c r="AE187" s="551" t="s">
        <v>181</v>
      </c>
      <c r="AF187" s="551"/>
      <c r="AG187" s="551" t="s">
        <v>182</v>
      </c>
      <c r="AH187" s="551"/>
      <c r="AI187" s="551" t="s">
        <v>183</v>
      </c>
      <c r="AJ187" s="556" t="s">
        <v>1</v>
      </c>
      <c r="AK187" s="551" t="s">
        <v>181</v>
      </c>
      <c r="AL187" s="551"/>
      <c r="AM187" s="551" t="s">
        <v>182</v>
      </c>
      <c r="AN187" s="551"/>
      <c r="AO187" s="551" t="s">
        <v>183</v>
      </c>
      <c r="AP187" s="553"/>
      <c r="AQ187" s="549"/>
      <c r="AR187" s="549"/>
      <c r="AS187" s="549"/>
      <c r="AT187" s="549"/>
    </row>
    <row r="188" spans="1:46" ht="90" hidden="1" customHeight="1">
      <c r="A188" s="179"/>
      <c r="B188" s="535"/>
      <c r="C188" s="535"/>
      <c r="D188" s="554"/>
      <c r="E188" s="554"/>
      <c r="F188" s="554"/>
      <c r="G188" s="554"/>
      <c r="H188" s="554"/>
      <c r="I188" s="535"/>
      <c r="J188" s="557"/>
      <c r="K188" s="186" t="s">
        <v>184</v>
      </c>
      <c r="L188" s="186" t="s">
        <v>185</v>
      </c>
      <c r="M188" s="186" t="s">
        <v>184</v>
      </c>
      <c r="N188" s="186" t="s">
        <v>185</v>
      </c>
      <c r="O188" s="551"/>
      <c r="P188" s="557"/>
      <c r="Q188" s="186" t="s">
        <v>184</v>
      </c>
      <c r="R188" s="186" t="s">
        <v>185</v>
      </c>
      <c r="S188" s="186" t="s">
        <v>184</v>
      </c>
      <c r="T188" s="186" t="s">
        <v>185</v>
      </c>
      <c r="U188" s="551"/>
      <c r="V188" s="554"/>
      <c r="W188" s="535"/>
      <c r="X188" s="554"/>
      <c r="Y188" s="554"/>
      <c r="Z188" s="554"/>
      <c r="AA188" s="554"/>
      <c r="AB188" s="554"/>
      <c r="AC188" s="535"/>
      <c r="AD188" s="557"/>
      <c r="AE188" s="186" t="s">
        <v>184</v>
      </c>
      <c r="AF188" s="186" t="s">
        <v>185</v>
      </c>
      <c r="AG188" s="186" t="s">
        <v>184</v>
      </c>
      <c r="AH188" s="186" t="s">
        <v>185</v>
      </c>
      <c r="AI188" s="551"/>
      <c r="AJ188" s="557"/>
      <c r="AK188" s="186" t="s">
        <v>184</v>
      </c>
      <c r="AL188" s="186" t="s">
        <v>185</v>
      </c>
      <c r="AM188" s="186" t="s">
        <v>184</v>
      </c>
      <c r="AN188" s="186" t="s">
        <v>185</v>
      </c>
      <c r="AO188" s="551"/>
      <c r="AP188" s="554"/>
      <c r="AQ188" s="550"/>
      <c r="AR188" s="550"/>
      <c r="AS188" s="550"/>
      <c r="AT188" s="550"/>
    </row>
    <row r="189" spans="1:46" hidden="1">
      <c r="A189" s="177" t="s">
        <v>25</v>
      </c>
      <c r="B189" s="178" t="s">
        <v>215</v>
      </c>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245"/>
      <c r="AR189" s="196"/>
      <c r="AS189" s="196"/>
      <c r="AT189" s="196"/>
    </row>
    <row r="190" spans="1:46" hidden="1">
      <c r="A190" s="233">
        <v>1</v>
      </c>
      <c r="B190" s="233" t="s">
        <v>298</v>
      </c>
      <c r="C190" s="270">
        <f t="shared" ref="C190:C211" si="88">SUM(D190:H190)</f>
        <v>2</v>
      </c>
      <c r="D190" s="233"/>
      <c r="E190" s="233">
        <v>0.5</v>
      </c>
      <c r="F190" s="233">
        <v>1.5</v>
      </c>
      <c r="G190" s="233"/>
      <c r="H190" s="233"/>
      <c r="I190" s="249">
        <f t="shared" ref="I190:I211" si="89">J190+P190</f>
        <v>15</v>
      </c>
      <c r="J190" s="240">
        <f t="shared" ref="J190:J211" si="90">SUM(K190:O190)</f>
        <v>0</v>
      </c>
      <c r="K190" s="196"/>
      <c r="L190" s="196"/>
      <c r="M190" s="196"/>
      <c r="N190" s="196"/>
      <c r="O190" s="196"/>
      <c r="P190" s="240">
        <f t="shared" ref="P190:P211" si="91">SUM(Q190:U190)</f>
        <v>15</v>
      </c>
      <c r="Q190" s="196"/>
      <c r="R190" s="196"/>
      <c r="S190" s="196"/>
      <c r="T190" s="196">
        <v>15</v>
      </c>
      <c r="U190" s="196"/>
      <c r="V190" s="238">
        <f t="shared" ref="V190:V211" si="92">D190*194.67+E190*173.04+F190*111.72+G190*111.72+H190*127.68+K190*86.255+L190*71.648+M190*84.489+N190*58.258+O190*53.065+Q190*72.658+R190*60.9+S190*74.716+T190*50.578+U190*46.62</f>
        <v>1012.77</v>
      </c>
      <c r="W190" s="227">
        <f t="shared" ref="W190:W211" si="93">SUM(X190:AB190)</f>
        <v>4.91</v>
      </c>
      <c r="X190" s="237"/>
      <c r="Y190" s="237">
        <v>1.1599999999999999</v>
      </c>
      <c r="Z190" s="237">
        <v>3.75</v>
      </c>
      <c r="AA190" s="237"/>
      <c r="AB190" s="237"/>
      <c r="AC190" s="227">
        <f t="shared" ref="AC190:AC211" si="94">AD190+AJ190</f>
        <v>0.78600000000000003</v>
      </c>
      <c r="AD190" s="239">
        <f t="shared" ref="AD190:AD211" si="95">SUM(AE190:AI190)</f>
        <v>0</v>
      </c>
      <c r="AE190" s="237"/>
      <c r="AF190" s="237"/>
      <c r="AG190" s="237"/>
      <c r="AH190" s="237"/>
      <c r="AI190" s="237"/>
      <c r="AJ190" s="239">
        <f t="shared" ref="AJ190:AJ211" si="96">SUM(AK190:AO190)</f>
        <v>0.78600000000000003</v>
      </c>
      <c r="AK190" s="237"/>
      <c r="AL190" s="237">
        <v>0.78600000000000003</v>
      </c>
      <c r="AM190" s="237"/>
      <c r="AN190" s="237"/>
      <c r="AO190" s="237"/>
      <c r="AP190" s="196">
        <v>850.8</v>
      </c>
      <c r="AQ190" s="334">
        <f t="shared" ref="AQ190:AQ211" si="97">W190/C190</f>
        <v>2.4550000000000001</v>
      </c>
      <c r="AR190" s="207">
        <f>AC190/I190</f>
        <v>5.2400000000000002E-2</v>
      </c>
      <c r="AS190" s="196"/>
      <c r="AT190" s="196"/>
    </row>
    <row r="191" spans="1:46" hidden="1">
      <c r="A191" s="233">
        <v>2</v>
      </c>
      <c r="B191" s="233" t="s">
        <v>299</v>
      </c>
      <c r="C191" s="270">
        <f t="shared" si="88"/>
        <v>1.47</v>
      </c>
      <c r="D191" s="233"/>
      <c r="E191" s="233"/>
      <c r="F191" s="233">
        <v>0.5</v>
      </c>
      <c r="G191" s="233"/>
      <c r="H191" s="233">
        <v>0.97</v>
      </c>
      <c r="I191" s="249">
        <f t="shared" si="89"/>
        <v>0</v>
      </c>
      <c r="J191" s="240">
        <f t="shared" si="90"/>
        <v>0</v>
      </c>
      <c r="K191" s="196"/>
      <c r="L191" s="196"/>
      <c r="M191" s="196"/>
      <c r="N191" s="196"/>
      <c r="O191" s="196"/>
      <c r="P191" s="240">
        <f t="shared" si="91"/>
        <v>0</v>
      </c>
      <c r="Q191" s="196"/>
      <c r="R191" s="196"/>
      <c r="S191" s="196"/>
      <c r="T191" s="196"/>
      <c r="U191" s="196"/>
      <c r="V191" s="238">
        <f t="shared" si="92"/>
        <v>179.70960000000002</v>
      </c>
      <c r="W191" s="227">
        <f t="shared" si="93"/>
        <v>0.62</v>
      </c>
      <c r="X191" s="237"/>
      <c r="Y191" s="237"/>
      <c r="Z191" s="237">
        <v>0.62</v>
      </c>
      <c r="AA191" s="237"/>
      <c r="AB191" s="237"/>
      <c r="AC191" s="227">
        <f t="shared" si="94"/>
        <v>0</v>
      </c>
      <c r="AD191" s="239">
        <f t="shared" si="95"/>
        <v>0</v>
      </c>
      <c r="AE191" s="237"/>
      <c r="AF191" s="237"/>
      <c r="AG191" s="237"/>
      <c r="AH191" s="237"/>
      <c r="AI191" s="237"/>
      <c r="AJ191" s="239">
        <f t="shared" si="96"/>
        <v>0</v>
      </c>
      <c r="AK191" s="237"/>
      <c r="AL191" s="237"/>
      <c r="AM191" s="237"/>
      <c r="AN191" s="237"/>
      <c r="AO191" s="237"/>
      <c r="AP191" s="196">
        <v>125.8</v>
      </c>
      <c r="AQ191" s="334">
        <f t="shared" si="97"/>
        <v>0.42176870748299322</v>
      </c>
      <c r="AR191" s="207"/>
      <c r="AS191" s="196"/>
      <c r="AT191" s="196"/>
    </row>
    <row r="192" spans="1:46" hidden="1">
      <c r="A192" s="233">
        <v>3</v>
      </c>
      <c r="B192" s="233" t="s">
        <v>300</v>
      </c>
      <c r="C192" s="270">
        <f t="shared" si="88"/>
        <v>1.5</v>
      </c>
      <c r="D192" s="233"/>
      <c r="E192" s="233"/>
      <c r="F192" s="233">
        <v>0.5</v>
      </c>
      <c r="G192" s="233">
        <v>1</v>
      </c>
      <c r="H192" s="233"/>
      <c r="I192" s="249">
        <f t="shared" si="89"/>
        <v>6.4599999999999991</v>
      </c>
      <c r="J192" s="240">
        <f t="shared" si="90"/>
        <v>0</v>
      </c>
      <c r="K192" s="196"/>
      <c r="L192" s="196"/>
      <c r="M192" s="196"/>
      <c r="N192" s="196"/>
      <c r="O192" s="196"/>
      <c r="P192" s="240">
        <f t="shared" si="91"/>
        <v>6.4599999999999991</v>
      </c>
      <c r="Q192" s="196"/>
      <c r="R192" s="196">
        <v>0.26</v>
      </c>
      <c r="S192" s="196">
        <v>4.5999999999999996</v>
      </c>
      <c r="T192" s="196">
        <v>1.6</v>
      </c>
      <c r="U192" s="196"/>
      <c r="V192" s="238">
        <f t="shared" si="92"/>
        <v>608.03239999999994</v>
      </c>
      <c r="W192" s="227">
        <f t="shared" si="93"/>
        <v>2.0259999999999998</v>
      </c>
      <c r="X192" s="237"/>
      <c r="Y192" s="237">
        <v>1.4119999999999999</v>
      </c>
      <c r="Z192" s="237">
        <v>0.61399999999999999</v>
      </c>
      <c r="AA192" s="237"/>
      <c r="AB192" s="237"/>
      <c r="AC192" s="227">
        <f t="shared" si="94"/>
        <v>0.19</v>
      </c>
      <c r="AD192" s="239">
        <f t="shared" si="95"/>
        <v>0.19</v>
      </c>
      <c r="AE192" s="237"/>
      <c r="AF192" s="237">
        <v>0.19</v>
      </c>
      <c r="AG192" s="237"/>
      <c r="AH192" s="237"/>
      <c r="AI192" s="237"/>
      <c r="AJ192" s="239">
        <f t="shared" si="96"/>
        <v>0</v>
      </c>
      <c r="AK192" s="237"/>
      <c r="AL192" s="237"/>
      <c r="AM192" s="237"/>
      <c r="AN192" s="237"/>
      <c r="AO192" s="237"/>
      <c r="AP192" s="196">
        <v>322.89999999999998</v>
      </c>
      <c r="AQ192" s="334">
        <f t="shared" si="97"/>
        <v>1.3506666666666665</v>
      </c>
      <c r="AR192" s="207">
        <f>AC192/I192</f>
        <v>2.9411764705882356E-2</v>
      </c>
      <c r="AS192" s="196"/>
      <c r="AT192" s="196"/>
    </row>
    <row r="193" spans="1:46" hidden="1">
      <c r="A193" s="233">
        <v>4</v>
      </c>
      <c r="B193" s="233" t="s">
        <v>301</v>
      </c>
      <c r="C193" s="270">
        <f t="shared" si="88"/>
        <v>0.5</v>
      </c>
      <c r="D193" s="233"/>
      <c r="E193" s="233"/>
      <c r="F193" s="233"/>
      <c r="G193" s="233">
        <v>0.5</v>
      </c>
      <c r="H193" s="233"/>
      <c r="I193" s="249">
        <f t="shared" si="89"/>
        <v>0</v>
      </c>
      <c r="J193" s="240">
        <f t="shared" si="90"/>
        <v>0</v>
      </c>
      <c r="K193" s="196"/>
      <c r="L193" s="196"/>
      <c r="M193" s="196"/>
      <c r="N193" s="196"/>
      <c r="O193" s="196"/>
      <c r="P193" s="240">
        <f t="shared" si="91"/>
        <v>0</v>
      </c>
      <c r="Q193" s="196"/>
      <c r="R193" s="196"/>
      <c r="S193" s="196"/>
      <c r="T193" s="196"/>
      <c r="U193" s="196"/>
      <c r="V193" s="238">
        <f t="shared" si="92"/>
        <v>55.86</v>
      </c>
      <c r="W193" s="227">
        <f t="shared" si="93"/>
        <v>0</v>
      </c>
      <c r="X193" s="237"/>
      <c r="Y193" s="237"/>
      <c r="Z193" s="237"/>
      <c r="AA193" s="237"/>
      <c r="AB193" s="237"/>
      <c r="AC193" s="227">
        <f t="shared" si="94"/>
        <v>0</v>
      </c>
      <c r="AD193" s="239">
        <f t="shared" si="95"/>
        <v>0</v>
      </c>
      <c r="AE193" s="237"/>
      <c r="AF193" s="237"/>
      <c r="AG193" s="237"/>
      <c r="AH193" s="237"/>
      <c r="AI193" s="237"/>
      <c r="AJ193" s="239">
        <f t="shared" si="96"/>
        <v>0</v>
      </c>
      <c r="AK193" s="237"/>
      <c r="AL193" s="237"/>
      <c r="AM193" s="237"/>
      <c r="AN193" s="237"/>
      <c r="AO193" s="237"/>
      <c r="AP193" s="196">
        <v>92</v>
      </c>
      <c r="AQ193" s="334">
        <f t="shared" si="97"/>
        <v>0</v>
      </c>
      <c r="AR193" s="207"/>
      <c r="AS193" s="196"/>
      <c r="AT193" s="196"/>
    </row>
    <row r="194" spans="1:46" hidden="1">
      <c r="A194" s="233">
        <v>5</v>
      </c>
      <c r="B194" s="233" t="s">
        <v>302</v>
      </c>
      <c r="C194" s="270">
        <f t="shared" si="88"/>
        <v>3</v>
      </c>
      <c r="D194" s="233"/>
      <c r="E194" s="233"/>
      <c r="F194" s="233">
        <v>2</v>
      </c>
      <c r="G194" s="233">
        <v>1</v>
      </c>
      <c r="H194" s="233"/>
      <c r="I194" s="249">
        <f t="shared" si="89"/>
        <v>7</v>
      </c>
      <c r="J194" s="240">
        <f t="shared" si="90"/>
        <v>0</v>
      </c>
      <c r="K194" s="196"/>
      <c r="L194" s="196"/>
      <c r="M194" s="196"/>
      <c r="N194" s="196"/>
      <c r="O194" s="196"/>
      <c r="P194" s="240">
        <f t="shared" si="91"/>
        <v>7</v>
      </c>
      <c r="Q194" s="196"/>
      <c r="R194" s="196">
        <v>7</v>
      </c>
      <c r="S194" s="196"/>
      <c r="T194" s="196"/>
      <c r="U194" s="196"/>
      <c r="V194" s="238">
        <f t="shared" si="92"/>
        <v>761.46</v>
      </c>
      <c r="W194" s="227">
        <f t="shared" si="93"/>
        <v>4.46</v>
      </c>
      <c r="X194" s="237"/>
      <c r="Y194" s="237"/>
      <c r="Z194" s="237">
        <v>4.46</v>
      </c>
      <c r="AA194" s="237"/>
      <c r="AB194" s="237"/>
      <c r="AC194" s="227">
        <f t="shared" si="94"/>
        <v>8.99</v>
      </c>
      <c r="AD194" s="239">
        <f t="shared" si="95"/>
        <v>0</v>
      </c>
      <c r="AE194" s="237"/>
      <c r="AF194" s="237"/>
      <c r="AG194" s="237"/>
      <c r="AH194" s="237"/>
      <c r="AI194" s="237"/>
      <c r="AJ194" s="239">
        <f t="shared" si="96"/>
        <v>8.99</v>
      </c>
      <c r="AK194" s="237"/>
      <c r="AL194" s="237"/>
      <c r="AM194" s="237"/>
      <c r="AN194" s="237">
        <v>8.99</v>
      </c>
      <c r="AO194" s="237"/>
      <c r="AP194" s="196">
        <v>870.2</v>
      </c>
      <c r="AQ194" s="334">
        <f t="shared" si="97"/>
        <v>1.4866666666666666</v>
      </c>
      <c r="AR194" s="207">
        <f t="shared" ref="AR194:AR200" si="98">AC194/I194</f>
        <v>1.2842857142857143</v>
      </c>
      <c r="AS194" s="196"/>
      <c r="AT194" s="196"/>
    </row>
    <row r="195" spans="1:46" hidden="1">
      <c r="A195" s="233">
        <v>6</v>
      </c>
      <c r="B195" s="233" t="s">
        <v>303</v>
      </c>
      <c r="C195" s="270">
        <f t="shared" si="88"/>
        <v>1</v>
      </c>
      <c r="D195" s="233"/>
      <c r="E195" s="233"/>
      <c r="F195" s="233">
        <v>0.2</v>
      </c>
      <c r="G195" s="233">
        <v>0.8</v>
      </c>
      <c r="H195" s="233"/>
      <c r="I195" s="249">
        <f t="shared" si="89"/>
        <v>0.6</v>
      </c>
      <c r="J195" s="240">
        <f t="shared" si="90"/>
        <v>0</v>
      </c>
      <c r="K195" s="196"/>
      <c r="L195" s="196"/>
      <c r="M195" s="196"/>
      <c r="N195" s="196"/>
      <c r="O195" s="196"/>
      <c r="P195" s="240">
        <f t="shared" si="91"/>
        <v>0.6</v>
      </c>
      <c r="Q195" s="196"/>
      <c r="R195" s="196"/>
      <c r="S195" s="196"/>
      <c r="T195" s="196">
        <v>0.6</v>
      </c>
      <c r="U195" s="196"/>
      <c r="V195" s="238">
        <f t="shared" si="92"/>
        <v>142.0668</v>
      </c>
      <c r="W195" s="227">
        <f t="shared" si="93"/>
        <v>2.5539999999999998</v>
      </c>
      <c r="X195" s="237"/>
      <c r="Y195" s="237">
        <v>0.57399999999999995</v>
      </c>
      <c r="Z195" s="237">
        <v>1.1499999999999999</v>
      </c>
      <c r="AA195" s="237">
        <v>0.83</v>
      </c>
      <c r="AB195" s="237"/>
      <c r="AC195" s="227">
        <f t="shared" si="94"/>
        <v>0.6</v>
      </c>
      <c r="AD195" s="239">
        <f t="shared" si="95"/>
        <v>0</v>
      </c>
      <c r="AE195" s="237"/>
      <c r="AF195" s="237"/>
      <c r="AG195" s="237"/>
      <c r="AH195" s="237"/>
      <c r="AI195" s="237"/>
      <c r="AJ195" s="239">
        <f t="shared" si="96"/>
        <v>0.6</v>
      </c>
      <c r="AK195" s="237"/>
      <c r="AL195" s="237">
        <v>0.6</v>
      </c>
      <c r="AM195" s="237"/>
      <c r="AN195" s="237"/>
      <c r="AO195" s="237"/>
      <c r="AP195" s="196">
        <v>369.8</v>
      </c>
      <c r="AQ195" s="334">
        <f t="shared" si="97"/>
        <v>2.5539999999999998</v>
      </c>
      <c r="AR195" s="207">
        <f t="shared" si="98"/>
        <v>1</v>
      </c>
      <c r="AS195" s="196"/>
      <c r="AT195" s="196"/>
    </row>
    <row r="196" spans="1:46" hidden="1">
      <c r="A196" s="233">
        <v>7</v>
      </c>
      <c r="B196" s="233" t="s">
        <v>304</v>
      </c>
      <c r="C196" s="270">
        <f t="shared" si="88"/>
        <v>3</v>
      </c>
      <c r="D196" s="233"/>
      <c r="E196" s="233"/>
      <c r="F196" s="233">
        <v>1</v>
      </c>
      <c r="G196" s="233">
        <v>2</v>
      </c>
      <c r="H196" s="233"/>
      <c r="I196" s="249">
        <f t="shared" si="89"/>
        <v>0.56000000000000005</v>
      </c>
      <c r="J196" s="240">
        <f t="shared" si="90"/>
        <v>0</v>
      </c>
      <c r="K196" s="196"/>
      <c r="L196" s="196"/>
      <c r="M196" s="196"/>
      <c r="N196" s="196"/>
      <c r="O196" s="196"/>
      <c r="P196" s="240">
        <f t="shared" si="91"/>
        <v>0.56000000000000005</v>
      </c>
      <c r="Q196" s="196">
        <v>0.4</v>
      </c>
      <c r="R196" s="196"/>
      <c r="S196" s="196">
        <v>0.16</v>
      </c>
      <c r="T196" s="237">
        <v>0</v>
      </c>
      <c r="U196" s="196"/>
      <c r="V196" s="238">
        <f t="shared" si="92"/>
        <v>376.17775999999998</v>
      </c>
      <c r="W196" s="227">
        <f t="shared" si="93"/>
        <v>1.9</v>
      </c>
      <c r="X196" s="237"/>
      <c r="Y196" s="237"/>
      <c r="Z196" s="237">
        <v>1.5</v>
      </c>
      <c r="AA196" s="237">
        <v>0.4</v>
      </c>
      <c r="AB196" s="237"/>
      <c r="AC196" s="227">
        <f t="shared" si="94"/>
        <v>2.5</v>
      </c>
      <c r="AD196" s="239">
        <f t="shared" si="95"/>
        <v>0</v>
      </c>
      <c r="AE196" s="237"/>
      <c r="AF196" s="237"/>
      <c r="AG196" s="237"/>
      <c r="AH196" s="237"/>
      <c r="AI196" s="237"/>
      <c r="AJ196" s="239">
        <f t="shared" si="96"/>
        <v>2.5</v>
      </c>
      <c r="AK196" s="237"/>
      <c r="AL196" s="237">
        <v>2.5</v>
      </c>
      <c r="AM196" s="237"/>
      <c r="AN196" s="237"/>
      <c r="AO196" s="237"/>
      <c r="AP196" s="196">
        <v>687.5</v>
      </c>
      <c r="AQ196" s="334">
        <f t="shared" si="97"/>
        <v>0.6333333333333333</v>
      </c>
      <c r="AR196" s="207">
        <f t="shared" si="98"/>
        <v>4.4642857142857135</v>
      </c>
      <c r="AS196" s="196"/>
      <c r="AT196" s="196"/>
    </row>
    <row r="197" spans="1:46" hidden="1">
      <c r="A197" s="233">
        <v>8</v>
      </c>
      <c r="B197" s="233" t="s">
        <v>305</v>
      </c>
      <c r="C197" s="270">
        <f t="shared" si="88"/>
        <v>2.5</v>
      </c>
      <c r="D197" s="233">
        <v>1</v>
      </c>
      <c r="E197" s="233"/>
      <c r="F197" s="233"/>
      <c r="G197" s="233">
        <v>1.5</v>
      </c>
      <c r="H197" s="233"/>
      <c r="I197" s="249">
        <f t="shared" si="89"/>
        <v>2</v>
      </c>
      <c r="J197" s="240">
        <f t="shared" si="90"/>
        <v>0</v>
      </c>
      <c r="K197" s="196"/>
      <c r="L197" s="196"/>
      <c r="M197" s="196"/>
      <c r="N197" s="196"/>
      <c r="O197" s="196"/>
      <c r="P197" s="240">
        <f t="shared" si="91"/>
        <v>2</v>
      </c>
      <c r="Q197" s="196"/>
      <c r="R197" s="196"/>
      <c r="S197" s="196">
        <v>1</v>
      </c>
      <c r="T197" s="196">
        <v>1</v>
      </c>
      <c r="U197" s="196"/>
      <c r="V197" s="238">
        <f t="shared" si="92"/>
        <v>487.54399999999998</v>
      </c>
      <c r="W197" s="227">
        <f t="shared" si="93"/>
        <v>0.35899999999999999</v>
      </c>
      <c r="X197" s="237"/>
      <c r="Y197" s="237">
        <v>0.35899999999999999</v>
      </c>
      <c r="Z197" s="237"/>
      <c r="AA197" s="237"/>
      <c r="AB197" s="237"/>
      <c r="AC197" s="227">
        <f t="shared" si="94"/>
        <v>0.45</v>
      </c>
      <c r="AD197" s="239">
        <f t="shared" si="95"/>
        <v>0.45</v>
      </c>
      <c r="AE197" s="237"/>
      <c r="AF197" s="237">
        <v>0.45</v>
      </c>
      <c r="AG197" s="237"/>
      <c r="AH197" s="237"/>
      <c r="AI197" s="237"/>
      <c r="AJ197" s="239">
        <f t="shared" si="96"/>
        <v>0</v>
      </c>
      <c r="AK197" s="237"/>
      <c r="AL197" s="237"/>
      <c r="AM197" s="237"/>
      <c r="AN197" s="237"/>
      <c r="AO197" s="237"/>
      <c r="AP197" s="196">
        <v>99.3</v>
      </c>
      <c r="AQ197" s="334">
        <f t="shared" si="97"/>
        <v>0.14360000000000001</v>
      </c>
      <c r="AR197" s="207">
        <f t="shared" si="98"/>
        <v>0.22500000000000001</v>
      </c>
      <c r="AS197" s="196"/>
      <c r="AT197" s="196"/>
    </row>
    <row r="198" spans="1:46" hidden="1">
      <c r="A198" s="233">
        <v>9</v>
      </c>
      <c r="B198" s="233" t="s">
        <v>306</v>
      </c>
      <c r="C198" s="270">
        <f t="shared" si="88"/>
        <v>3</v>
      </c>
      <c r="D198" s="233"/>
      <c r="E198" s="233">
        <v>2</v>
      </c>
      <c r="F198" s="233">
        <v>1</v>
      </c>
      <c r="G198" s="233"/>
      <c r="H198" s="233"/>
      <c r="I198" s="249">
        <f t="shared" si="89"/>
        <v>6.5</v>
      </c>
      <c r="J198" s="240">
        <f t="shared" si="90"/>
        <v>1</v>
      </c>
      <c r="K198" s="196">
        <v>0.3</v>
      </c>
      <c r="L198" s="196">
        <v>0.7</v>
      </c>
      <c r="M198" s="196"/>
      <c r="N198" s="196"/>
      <c r="O198" s="196"/>
      <c r="P198" s="240">
        <f t="shared" si="91"/>
        <v>5.5</v>
      </c>
      <c r="Q198" s="196"/>
      <c r="R198" s="196"/>
      <c r="S198" s="196">
        <v>5.5</v>
      </c>
      <c r="T198" s="196"/>
      <c r="U198" s="196"/>
      <c r="V198" s="238">
        <f t="shared" si="92"/>
        <v>944.7681</v>
      </c>
      <c r="W198" s="227">
        <f t="shared" si="93"/>
        <v>2.2000000000000002</v>
      </c>
      <c r="X198" s="237"/>
      <c r="Y198" s="237"/>
      <c r="Z198" s="237">
        <v>2.2000000000000002</v>
      </c>
      <c r="AA198" s="237"/>
      <c r="AB198" s="237"/>
      <c r="AC198" s="227">
        <f t="shared" si="94"/>
        <v>0.32</v>
      </c>
      <c r="AD198" s="239">
        <f t="shared" si="95"/>
        <v>0.1</v>
      </c>
      <c r="AE198" s="237"/>
      <c r="AF198" s="237">
        <v>0.1</v>
      </c>
      <c r="AG198" s="237"/>
      <c r="AH198" s="237"/>
      <c r="AI198" s="237"/>
      <c r="AJ198" s="239">
        <f t="shared" si="96"/>
        <v>0.22</v>
      </c>
      <c r="AK198" s="237"/>
      <c r="AL198" s="237">
        <v>0.22</v>
      </c>
      <c r="AM198" s="237"/>
      <c r="AN198" s="237"/>
      <c r="AO198" s="237"/>
      <c r="AP198" s="196">
        <v>645.4</v>
      </c>
      <c r="AQ198" s="334">
        <f t="shared" si="97"/>
        <v>0.73333333333333339</v>
      </c>
      <c r="AR198" s="207">
        <f t="shared" si="98"/>
        <v>4.9230769230769231E-2</v>
      </c>
      <c r="AS198" s="196"/>
      <c r="AT198" s="196"/>
    </row>
    <row r="199" spans="1:46" hidden="1">
      <c r="A199" s="233">
        <v>10</v>
      </c>
      <c r="B199" s="233" t="s">
        <v>307</v>
      </c>
      <c r="C199" s="270">
        <f t="shared" si="88"/>
        <v>1.5</v>
      </c>
      <c r="D199" s="233"/>
      <c r="E199" s="233"/>
      <c r="F199" s="233">
        <v>1.5</v>
      </c>
      <c r="G199" s="233"/>
      <c r="H199" s="233"/>
      <c r="I199" s="249">
        <f t="shared" si="89"/>
        <v>1.5</v>
      </c>
      <c r="J199" s="240">
        <f t="shared" si="90"/>
        <v>0</v>
      </c>
      <c r="K199" s="196"/>
      <c r="L199" s="196"/>
      <c r="M199" s="196"/>
      <c r="N199" s="196"/>
      <c r="O199" s="196"/>
      <c r="P199" s="240">
        <f t="shared" si="91"/>
        <v>1.5</v>
      </c>
      <c r="Q199" s="196"/>
      <c r="R199" s="196"/>
      <c r="S199" s="196"/>
      <c r="T199" s="196">
        <v>1.5</v>
      </c>
      <c r="U199" s="196"/>
      <c r="V199" s="238">
        <f t="shared" si="92"/>
        <v>243.447</v>
      </c>
      <c r="W199" s="227">
        <f t="shared" si="93"/>
        <v>0.52</v>
      </c>
      <c r="X199" s="237"/>
      <c r="Y199" s="237"/>
      <c r="Z199" s="237">
        <v>0.52</v>
      </c>
      <c r="AA199" s="237"/>
      <c r="AB199" s="237"/>
      <c r="AC199" s="227">
        <f t="shared" si="94"/>
        <v>0.62</v>
      </c>
      <c r="AD199" s="239">
        <f t="shared" si="95"/>
        <v>0</v>
      </c>
      <c r="AE199" s="237"/>
      <c r="AF199" s="237"/>
      <c r="AG199" s="237"/>
      <c r="AH199" s="237"/>
      <c r="AI199" s="237"/>
      <c r="AJ199" s="239">
        <f t="shared" si="96"/>
        <v>0.62</v>
      </c>
      <c r="AK199" s="237"/>
      <c r="AL199" s="237">
        <v>0.62</v>
      </c>
      <c r="AM199" s="237"/>
      <c r="AN199" s="237"/>
      <c r="AO199" s="237"/>
      <c r="AP199" s="196">
        <v>209.1</v>
      </c>
      <c r="AQ199" s="334">
        <f t="shared" si="97"/>
        <v>0.34666666666666668</v>
      </c>
      <c r="AR199" s="207">
        <f t="shared" si="98"/>
        <v>0.41333333333333333</v>
      </c>
      <c r="AS199" s="196"/>
      <c r="AT199" s="196"/>
    </row>
    <row r="200" spans="1:46" hidden="1">
      <c r="A200" s="233">
        <v>11</v>
      </c>
      <c r="B200" s="233" t="s">
        <v>308</v>
      </c>
      <c r="C200" s="270">
        <f t="shared" si="88"/>
        <v>2</v>
      </c>
      <c r="D200" s="233"/>
      <c r="E200" s="233">
        <v>0.5</v>
      </c>
      <c r="F200" s="233">
        <v>1.5</v>
      </c>
      <c r="G200" s="233"/>
      <c r="H200" s="233"/>
      <c r="I200" s="249">
        <f t="shared" si="89"/>
        <v>1</v>
      </c>
      <c r="J200" s="240">
        <f t="shared" si="90"/>
        <v>1</v>
      </c>
      <c r="K200" s="196"/>
      <c r="L200" s="196">
        <v>1</v>
      </c>
      <c r="M200" s="196"/>
      <c r="N200" s="196"/>
      <c r="O200" s="196"/>
      <c r="P200" s="240">
        <f t="shared" si="91"/>
        <v>0</v>
      </c>
      <c r="Q200" s="196"/>
      <c r="R200" s="196"/>
      <c r="S200" s="196"/>
      <c r="T200" s="196"/>
      <c r="U200" s="196"/>
      <c r="V200" s="238">
        <f t="shared" si="92"/>
        <v>325.74799999999993</v>
      </c>
      <c r="W200" s="227">
        <f t="shared" si="93"/>
        <v>1.734</v>
      </c>
      <c r="X200" s="237"/>
      <c r="Y200" s="237"/>
      <c r="Z200" s="237">
        <v>1.734</v>
      </c>
      <c r="AA200" s="237"/>
      <c r="AB200" s="237"/>
      <c r="AC200" s="227">
        <f t="shared" si="94"/>
        <v>0.374</v>
      </c>
      <c r="AD200" s="239">
        <f t="shared" si="95"/>
        <v>0.374</v>
      </c>
      <c r="AE200" s="237"/>
      <c r="AF200" s="237">
        <v>0.374</v>
      </c>
      <c r="AG200" s="237"/>
      <c r="AH200" s="237"/>
      <c r="AI200" s="237"/>
      <c r="AJ200" s="239">
        <f t="shared" si="96"/>
        <v>0</v>
      </c>
      <c r="AK200" s="237"/>
      <c r="AL200" s="237"/>
      <c r="AM200" s="237"/>
      <c r="AN200" s="237"/>
      <c r="AO200" s="237"/>
      <c r="AP200" s="196">
        <v>245.6</v>
      </c>
      <c r="AQ200" s="334">
        <f t="shared" si="97"/>
        <v>0.86699999999999999</v>
      </c>
      <c r="AR200" s="207">
        <f t="shared" si="98"/>
        <v>0.374</v>
      </c>
      <c r="AS200" s="196"/>
      <c r="AT200" s="196"/>
    </row>
    <row r="201" spans="1:46" hidden="1">
      <c r="A201" s="233">
        <v>12</v>
      </c>
      <c r="B201" s="233" t="s">
        <v>309</v>
      </c>
      <c r="C201" s="270">
        <f t="shared" si="88"/>
        <v>1</v>
      </c>
      <c r="D201" s="233"/>
      <c r="E201" s="233"/>
      <c r="F201" s="233">
        <v>0.4</v>
      </c>
      <c r="G201" s="233">
        <v>0.6</v>
      </c>
      <c r="H201" s="233"/>
      <c r="I201" s="249">
        <f t="shared" si="89"/>
        <v>0</v>
      </c>
      <c r="J201" s="240">
        <f t="shared" si="90"/>
        <v>0</v>
      </c>
      <c r="K201" s="196"/>
      <c r="L201" s="196"/>
      <c r="M201" s="196"/>
      <c r="N201" s="196"/>
      <c r="O201" s="196"/>
      <c r="P201" s="240">
        <f t="shared" si="91"/>
        <v>0</v>
      </c>
      <c r="Q201" s="196"/>
      <c r="R201" s="196"/>
      <c r="S201" s="196"/>
      <c r="T201" s="196"/>
      <c r="U201" s="196"/>
      <c r="V201" s="238">
        <f t="shared" si="92"/>
        <v>111.72</v>
      </c>
      <c r="W201" s="227">
        <f t="shared" si="93"/>
        <v>1.6190000000000002</v>
      </c>
      <c r="X201" s="237"/>
      <c r="Y201" s="237"/>
      <c r="Z201" s="237">
        <v>0.52900000000000003</v>
      </c>
      <c r="AA201" s="237">
        <v>1.0900000000000001</v>
      </c>
      <c r="AB201" s="237"/>
      <c r="AC201" s="227">
        <f t="shared" si="94"/>
        <v>0.626</v>
      </c>
      <c r="AD201" s="239">
        <f t="shared" si="95"/>
        <v>0.17</v>
      </c>
      <c r="AE201" s="237"/>
      <c r="AF201" s="237"/>
      <c r="AG201" s="237"/>
      <c r="AH201" s="237">
        <v>0.17</v>
      </c>
      <c r="AI201" s="237"/>
      <c r="AJ201" s="239">
        <f t="shared" si="96"/>
        <v>0.45600000000000002</v>
      </c>
      <c r="AK201" s="237"/>
      <c r="AL201" s="237">
        <v>0.45600000000000002</v>
      </c>
      <c r="AM201" s="237"/>
      <c r="AN201" s="237"/>
      <c r="AO201" s="237"/>
      <c r="AP201" s="196">
        <v>253.7</v>
      </c>
      <c r="AQ201" s="334">
        <f t="shared" si="97"/>
        <v>1.6190000000000002</v>
      </c>
      <c r="AR201" s="207"/>
      <c r="AS201" s="196"/>
      <c r="AT201" s="196"/>
    </row>
    <row r="202" spans="1:46" hidden="1">
      <c r="A202" s="233">
        <v>13</v>
      </c>
      <c r="B202" s="233" t="s">
        <v>310</v>
      </c>
      <c r="C202" s="270">
        <f t="shared" si="88"/>
        <v>2.5</v>
      </c>
      <c r="D202" s="233">
        <v>0.2</v>
      </c>
      <c r="E202" s="233">
        <v>1.5</v>
      </c>
      <c r="F202" s="233">
        <v>0.8</v>
      </c>
      <c r="G202" s="233"/>
      <c r="H202" s="233"/>
      <c r="I202" s="249">
        <f t="shared" si="89"/>
        <v>10</v>
      </c>
      <c r="J202" s="240">
        <f t="shared" si="90"/>
        <v>1</v>
      </c>
      <c r="K202" s="196"/>
      <c r="L202" s="196">
        <v>1</v>
      </c>
      <c r="M202" s="196"/>
      <c r="N202" s="196"/>
      <c r="O202" s="196"/>
      <c r="P202" s="240">
        <f t="shared" si="91"/>
        <v>9</v>
      </c>
      <c r="Q202" s="196"/>
      <c r="R202" s="196"/>
      <c r="S202" s="196"/>
      <c r="T202" s="196">
        <v>9</v>
      </c>
      <c r="U202" s="196"/>
      <c r="V202" s="238">
        <f t="shared" si="92"/>
        <v>914.72</v>
      </c>
      <c r="W202" s="227">
        <f t="shared" si="93"/>
        <v>1.55</v>
      </c>
      <c r="X202" s="237"/>
      <c r="Y202" s="237"/>
      <c r="Z202" s="237">
        <v>1.55</v>
      </c>
      <c r="AA202" s="237"/>
      <c r="AB202" s="237"/>
      <c r="AC202" s="227">
        <f t="shared" si="94"/>
        <v>4.3079999999999998</v>
      </c>
      <c r="AD202" s="239">
        <f t="shared" si="95"/>
        <v>0</v>
      </c>
      <c r="AE202" s="237"/>
      <c r="AF202" s="237"/>
      <c r="AG202" s="237"/>
      <c r="AH202" s="237"/>
      <c r="AI202" s="237"/>
      <c r="AJ202" s="239">
        <f t="shared" si="96"/>
        <v>4.3079999999999998</v>
      </c>
      <c r="AK202" s="237"/>
      <c r="AL202" s="237">
        <v>4.3079999999999998</v>
      </c>
      <c r="AM202" s="237"/>
      <c r="AN202" s="237"/>
      <c r="AO202" s="237"/>
      <c r="AP202" s="196">
        <v>680.75</v>
      </c>
      <c r="AQ202" s="334">
        <f t="shared" si="97"/>
        <v>0.62</v>
      </c>
      <c r="AR202" s="207">
        <f>AC202/I202</f>
        <v>0.43079999999999996</v>
      </c>
      <c r="AS202" s="196"/>
      <c r="AT202" s="196"/>
    </row>
    <row r="203" spans="1:46" hidden="1">
      <c r="A203" s="233">
        <v>14</v>
      </c>
      <c r="B203" s="233" t="s">
        <v>311</v>
      </c>
      <c r="C203" s="270">
        <f t="shared" si="88"/>
        <v>2</v>
      </c>
      <c r="D203" s="233"/>
      <c r="E203" s="233"/>
      <c r="F203" s="233">
        <v>1</v>
      </c>
      <c r="G203" s="233">
        <v>1</v>
      </c>
      <c r="H203" s="233"/>
      <c r="I203" s="249">
        <f t="shared" si="89"/>
        <v>0</v>
      </c>
      <c r="J203" s="240">
        <f t="shared" si="90"/>
        <v>0</v>
      </c>
      <c r="K203" s="196"/>
      <c r="L203" s="196"/>
      <c r="M203" s="196"/>
      <c r="N203" s="196"/>
      <c r="O203" s="196"/>
      <c r="P203" s="240">
        <f t="shared" si="91"/>
        <v>0</v>
      </c>
      <c r="Q203" s="196"/>
      <c r="R203" s="196"/>
      <c r="S203" s="196"/>
      <c r="T203" s="196"/>
      <c r="U203" s="196"/>
      <c r="V203" s="238">
        <f t="shared" si="92"/>
        <v>223.44</v>
      </c>
      <c r="W203" s="227">
        <f t="shared" si="93"/>
        <v>1.1000000000000001</v>
      </c>
      <c r="X203" s="237"/>
      <c r="Y203" s="237"/>
      <c r="Z203" s="237">
        <v>0.7</v>
      </c>
      <c r="AA203" s="237">
        <v>0.4</v>
      </c>
      <c r="AB203" s="237"/>
      <c r="AC203" s="227">
        <f t="shared" si="94"/>
        <v>0.3</v>
      </c>
      <c r="AD203" s="239">
        <f t="shared" si="95"/>
        <v>0.3</v>
      </c>
      <c r="AE203" s="237">
        <v>0.3</v>
      </c>
      <c r="AF203" s="237"/>
      <c r="AG203" s="237"/>
      <c r="AH203" s="237"/>
      <c r="AI203" s="237"/>
      <c r="AJ203" s="239">
        <f t="shared" si="96"/>
        <v>0</v>
      </c>
      <c r="AK203" s="237"/>
      <c r="AL203" s="237"/>
      <c r="AM203" s="237"/>
      <c r="AN203" s="237"/>
      <c r="AO203" s="237"/>
      <c r="AP203" s="196">
        <v>473.3</v>
      </c>
      <c r="AQ203" s="334">
        <f t="shared" si="97"/>
        <v>0.55000000000000004</v>
      </c>
      <c r="AR203" s="207"/>
      <c r="AS203" s="196"/>
      <c r="AT203" s="196"/>
    </row>
    <row r="204" spans="1:46" hidden="1">
      <c r="A204" s="233">
        <v>15</v>
      </c>
      <c r="B204" s="233" t="s">
        <v>312</v>
      </c>
      <c r="C204" s="270">
        <f t="shared" si="88"/>
        <v>0.5</v>
      </c>
      <c r="D204" s="233"/>
      <c r="E204" s="233"/>
      <c r="F204" s="233">
        <v>0.5</v>
      </c>
      <c r="G204" s="233"/>
      <c r="H204" s="233"/>
      <c r="I204" s="249">
        <f t="shared" si="89"/>
        <v>0.58000000000000007</v>
      </c>
      <c r="J204" s="240">
        <f t="shared" si="90"/>
        <v>0.18</v>
      </c>
      <c r="K204" s="196"/>
      <c r="L204" s="196">
        <v>0.18</v>
      </c>
      <c r="M204" s="196"/>
      <c r="N204" s="196"/>
      <c r="O204" s="196"/>
      <c r="P204" s="240">
        <f t="shared" si="91"/>
        <v>0.4</v>
      </c>
      <c r="Q204" s="196"/>
      <c r="R204" s="196"/>
      <c r="S204" s="196">
        <v>0.4</v>
      </c>
      <c r="T204" s="196"/>
      <c r="U204" s="196"/>
      <c r="V204" s="238">
        <f t="shared" si="92"/>
        <v>98.643039999999999</v>
      </c>
      <c r="W204" s="227">
        <f t="shared" si="93"/>
        <v>0.61899999999999999</v>
      </c>
      <c r="X204" s="237"/>
      <c r="Y204" s="237"/>
      <c r="Z204" s="237"/>
      <c r="AA204" s="237">
        <v>0.61899999999999999</v>
      </c>
      <c r="AB204" s="237"/>
      <c r="AC204" s="227">
        <f t="shared" si="94"/>
        <v>0</v>
      </c>
      <c r="AD204" s="239">
        <f t="shared" si="95"/>
        <v>0</v>
      </c>
      <c r="AE204" s="237"/>
      <c r="AF204" s="237"/>
      <c r="AG204" s="237"/>
      <c r="AH204" s="237"/>
      <c r="AI204" s="237"/>
      <c r="AJ204" s="239">
        <f t="shared" si="96"/>
        <v>0</v>
      </c>
      <c r="AK204" s="237"/>
      <c r="AL204" s="237"/>
      <c r="AM204" s="237"/>
      <c r="AN204" s="237"/>
      <c r="AO204" s="237"/>
      <c r="AP204" s="196">
        <v>88.6</v>
      </c>
      <c r="AQ204" s="334">
        <f t="shared" si="97"/>
        <v>1.238</v>
      </c>
      <c r="AR204" s="207">
        <f>AC204/I204</f>
        <v>0</v>
      </c>
      <c r="AS204" s="196"/>
      <c r="AT204" s="196"/>
    </row>
    <row r="205" spans="1:46" hidden="1">
      <c r="A205" s="233">
        <v>16</v>
      </c>
      <c r="B205" s="233" t="s">
        <v>313</v>
      </c>
      <c r="C205" s="270">
        <f t="shared" si="88"/>
        <v>2</v>
      </c>
      <c r="D205" s="233"/>
      <c r="E205" s="233">
        <v>2</v>
      </c>
      <c r="F205" s="233"/>
      <c r="G205" s="233"/>
      <c r="H205" s="233"/>
      <c r="I205" s="249">
        <f t="shared" si="89"/>
        <v>1.5</v>
      </c>
      <c r="J205" s="240">
        <f t="shared" si="90"/>
        <v>0</v>
      </c>
      <c r="K205" s="196"/>
      <c r="L205" s="196"/>
      <c r="M205" s="196"/>
      <c r="N205" s="196"/>
      <c r="O205" s="196"/>
      <c r="P205" s="240">
        <f t="shared" si="91"/>
        <v>1.5</v>
      </c>
      <c r="Q205" s="196"/>
      <c r="R205" s="196"/>
      <c r="S205" s="196"/>
      <c r="T205" s="196">
        <v>1.5</v>
      </c>
      <c r="U205" s="196"/>
      <c r="V205" s="238">
        <f t="shared" si="92"/>
        <v>421.947</v>
      </c>
      <c r="W205" s="227">
        <f t="shared" si="93"/>
        <v>1.1000000000000001</v>
      </c>
      <c r="X205" s="237"/>
      <c r="Y205" s="237">
        <v>0.9</v>
      </c>
      <c r="Z205" s="237">
        <v>0.2</v>
      </c>
      <c r="AA205" s="237"/>
      <c r="AB205" s="237"/>
      <c r="AC205" s="227">
        <f t="shared" si="94"/>
        <v>0.73</v>
      </c>
      <c r="AD205" s="239">
        <f t="shared" si="95"/>
        <v>0</v>
      </c>
      <c r="AE205" s="237"/>
      <c r="AF205" s="237"/>
      <c r="AG205" s="237"/>
      <c r="AH205" s="237"/>
      <c r="AI205" s="237"/>
      <c r="AJ205" s="239">
        <f t="shared" si="96"/>
        <v>0.73</v>
      </c>
      <c r="AK205" s="237"/>
      <c r="AL205" s="237">
        <v>0.73</v>
      </c>
      <c r="AM205" s="237"/>
      <c r="AN205" s="237"/>
      <c r="AO205" s="237"/>
      <c r="AP205" s="196">
        <v>215.5</v>
      </c>
      <c r="AQ205" s="334">
        <f t="shared" si="97"/>
        <v>0.55000000000000004</v>
      </c>
      <c r="AR205" s="207">
        <f>AC205/I205</f>
        <v>0.48666666666666664</v>
      </c>
      <c r="AS205" s="196"/>
      <c r="AT205" s="196"/>
    </row>
    <row r="206" spans="1:46" hidden="1">
      <c r="A206" s="233">
        <v>17</v>
      </c>
      <c r="B206" s="233" t="s">
        <v>314</v>
      </c>
      <c r="C206" s="270">
        <f t="shared" si="88"/>
        <v>0.5</v>
      </c>
      <c r="D206" s="233"/>
      <c r="E206" s="233"/>
      <c r="F206" s="233">
        <v>0.5</v>
      </c>
      <c r="G206" s="233"/>
      <c r="H206" s="233"/>
      <c r="I206" s="249">
        <f t="shared" si="89"/>
        <v>0</v>
      </c>
      <c r="J206" s="240">
        <f t="shared" si="90"/>
        <v>0</v>
      </c>
      <c r="K206" s="196"/>
      <c r="L206" s="196"/>
      <c r="M206" s="196"/>
      <c r="N206" s="196"/>
      <c r="O206" s="196"/>
      <c r="P206" s="240">
        <f t="shared" si="91"/>
        <v>0</v>
      </c>
      <c r="Q206" s="196"/>
      <c r="R206" s="196"/>
      <c r="S206" s="196"/>
      <c r="T206" s="196"/>
      <c r="U206" s="196"/>
      <c r="V206" s="238">
        <f t="shared" si="92"/>
        <v>55.86</v>
      </c>
      <c r="W206" s="227">
        <f t="shared" si="93"/>
        <v>3.2560000000000002</v>
      </c>
      <c r="X206" s="237"/>
      <c r="Y206" s="237">
        <v>0.27</v>
      </c>
      <c r="Z206" s="237">
        <v>2.9860000000000002</v>
      </c>
      <c r="AA206" s="237"/>
      <c r="AB206" s="237"/>
      <c r="AC206" s="227">
        <f t="shared" si="94"/>
        <v>0</v>
      </c>
      <c r="AD206" s="239">
        <f t="shared" si="95"/>
        <v>0</v>
      </c>
      <c r="AE206" s="237"/>
      <c r="AF206" s="237"/>
      <c r="AG206" s="237"/>
      <c r="AH206" s="237"/>
      <c r="AI206" s="237"/>
      <c r="AJ206" s="239">
        <f t="shared" si="96"/>
        <v>0</v>
      </c>
      <c r="AK206" s="237"/>
      <c r="AL206" s="237"/>
      <c r="AM206" s="237"/>
      <c r="AN206" s="237"/>
      <c r="AO206" s="237"/>
      <c r="AP206" s="196">
        <v>198.2</v>
      </c>
      <c r="AQ206" s="334">
        <f t="shared" si="97"/>
        <v>6.5120000000000005</v>
      </c>
      <c r="AR206" s="207"/>
      <c r="AS206" s="196"/>
      <c r="AT206" s="196"/>
    </row>
    <row r="207" spans="1:46" hidden="1">
      <c r="A207" s="233">
        <v>18</v>
      </c>
      <c r="B207" s="233" t="s">
        <v>315</v>
      </c>
      <c r="C207" s="270">
        <f t="shared" si="88"/>
        <v>2.5</v>
      </c>
      <c r="D207" s="233"/>
      <c r="E207" s="233"/>
      <c r="F207" s="233">
        <v>1.5</v>
      </c>
      <c r="G207" s="233">
        <v>1</v>
      </c>
      <c r="H207" s="233"/>
      <c r="I207" s="249">
        <f t="shared" si="89"/>
        <v>3.55</v>
      </c>
      <c r="J207" s="240">
        <f t="shared" si="90"/>
        <v>1.6</v>
      </c>
      <c r="K207" s="196">
        <v>1.6</v>
      </c>
      <c r="L207" s="196"/>
      <c r="M207" s="196"/>
      <c r="N207" s="196"/>
      <c r="O207" s="196"/>
      <c r="P207" s="240">
        <f t="shared" si="91"/>
        <v>1.95</v>
      </c>
      <c r="Q207" s="196">
        <v>1.95</v>
      </c>
      <c r="R207" s="196"/>
      <c r="S207" s="196"/>
      <c r="T207" s="196"/>
      <c r="U207" s="196"/>
      <c r="V207" s="238">
        <f t="shared" si="92"/>
        <v>558.99109999999996</v>
      </c>
      <c r="W207" s="227">
        <f t="shared" si="93"/>
        <v>2.75</v>
      </c>
      <c r="X207" s="237"/>
      <c r="Y207" s="237">
        <v>1.5</v>
      </c>
      <c r="Z207" s="237">
        <v>1.25</v>
      </c>
      <c r="AA207" s="237"/>
      <c r="AB207" s="237"/>
      <c r="AC207" s="227">
        <f t="shared" si="94"/>
        <v>6.2750000000000004</v>
      </c>
      <c r="AD207" s="239">
        <f t="shared" si="95"/>
        <v>0.7</v>
      </c>
      <c r="AE207" s="237"/>
      <c r="AF207" s="237">
        <v>0.7</v>
      </c>
      <c r="AG207" s="237"/>
      <c r="AH207" s="237"/>
      <c r="AI207" s="237"/>
      <c r="AJ207" s="239">
        <f t="shared" si="96"/>
        <v>5.5750000000000002</v>
      </c>
      <c r="AK207" s="237"/>
      <c r="AL207" s="237">
        <v>5.5750000000000002</v>
      </c>
      <c r="AM207" s="237"/>
      <c r="AN207" s="237"/>
      <c r="AO207" s="237"/>
      <c r="AP207" s="196">
        <v>600.79999999999995</v>
      </c>
      <c r="AQ207" s="334">
        <f t="shared" si="97"/>
        <v>1.1000000000000001</v>
      </c>
      <c r="AR207" s="207">
        <f>AC207/I207</f>
        <v>1.767605633802817</v>
      </c>
      <c r="AS207" s="196"/>
      <c r="AT207" s="196"/>
    </row>
    <row r="208" spans="1:46" hidden="1">
      <c r="A208" s="233">
        <v>19</v>
      </c>
      <c r="B208" s="233" t="s">
        <v>316</v>
      </c>
      <c r="C208" s="270">
        <f t="shared" si="88"/>
        <v>2.5</v>
      </c>
      <c r="D208" s="233"/>
      <c r="E208" s="233">
        <v>0.5</v>
      </c>
      <c r="F208" s="233">
        <v>1</v>
      </c>
      <c r="G208" s="233">
        <v>1</v>
      </c>
      <c r="H208" s="233"/>
      <c r="I208" s="249">
        <f t="shared" si="89"/>
        <v>2</v>
      </c>
      <c r="J208" s="240">
        <f t="shared" si="90"/>
        <v>0</v>
      </c>
      <c r="K208" s="196"/>
      <c r="L208" s="196"/>
      <c r="M208" s="196"/>
      <c r="N208" s="196"/>
      <c r="O208" s="196"/>
      <c r="P208" s="240">
        <f t="shared" si="91"/>
        <v>2</v>
      </c>
      <c r="Q208" s="196"/>
      <c r="R208" s="196">
        <v>2</v>
      </c>
      <c r="S208" s="196"/>
      <c r="T208" s="196"/>
      <c r="U208" s="196"/>
      <c r="V208" s="238">
        <f t="shared" si="92"/>
        <v>431.76000000000005</v>
      </c>
      <c r="W208" s="227">
        <f t="shared" si="93"/>
        <v>3.7640000000000002</v>
      </c>
      <c r="X208" s="237"/>
      <c r="Y208" s="237">
        <v>1.524</v>
      </c>
      <c r="Z208" s="237">
        <v>1.23</v>
      </c>
      <c r="AA208" s="237">
        <v>1.01</v>
      </c>
      <c r="AB208" s="237"/>
      <c r="AC208" s="227">
        <f t="shared" si="94"/>
        <v>1</v>
      </c>
      <c r="AD208" s="239">
        <f t="shared" si="95"/>
        <v>0</v>
      </c>
      <c r="AE208" s="237"/>
      <c r="AF208" s="237"/>
      <c r="AG208" s="237"/>
      <c r="AH208" s="237"/>
      <c r="AI208" s="237"/>
      <c r="AJ208" s="239">
        <f t="shared" si="96"/>
        <v>1</v>
      </c>
      <c r="AK208" s="237"/>
      <c r="AL208" s="237">
        <v>1</v>
      </c>
      <c r="AM208" s="237"/>
      <c r="AN208" s="237"/>
      <c r="AO208" s="237"/>
      <c r="AP208" s="196">
        <v>587.9</v>
      </c>
      <c r="AQ208" s="334">
        <f t="shared" si="97"/>
        <v>1.5056</v>
      </c>
      <c r="AR208" s="207">
        <f>AC208/I208</f>
        <v>0.5</v>
      </c>
      <c r="AS208" s="196"/>
      <c r="AT208" s="196"/>
    </row>
    <row r="209" spans="1:46" hidden="1">
      <c r="A209" s="233">
        <v>20</v>
      </c>
      <c r="B209" s="233" t="s">
        <v>317</v>
      </c>
      <c r="C209" s="270">
        <f t="shared" si="88"/>
        <v>3</v>
      </c>
      <c r="D209" s="233"/>
      <c r="E209" s="233">
        <v>0.5</v>
      </c>
      <c r="F209" s="233">
        <v>2.5</v>
      </c>
      <c r="G209" s="233"/>
      <c r="H209" s="233"/>
      <c r="I209" s="249">
        <f t="shared" si="89"/>
        <v>0.82000000000000006</v>
      </c>
      <c r="J209" s="240">
        <f t="shared" si="90"/>
        <v>0.32</v>
      </c>
      <c r="K209" s="196"/>
      <c r="L209" s="196">
        <v>0.32</v>
      </c>
      <c r="M209" s="196"/>
      <c r="N209" s="196"/>
      <c r="O209" s="196"/>
      <c r="P209" s="240">
        <f t="shared" si="91"/>
        <v>0.5</v>
      </c>
      <c r="Q209" s="196"/>
      <c r="R209" s="196"/>
      <c r="S209" s="196">
        <v>0.5</v>
      </c>
      <c r="T209" s="196"/>
      <c r="U209" s="196"/>
      <c r="V209" s="238">
        <f t="shared" si="92"/>
        <v>426.10536000000002</v>
      </c>
      <c r="W209" s="227">
        <f t="shared" si="93"/>
        <v>1.7289999999999999</v>
      </c>
      <c r="X209" s="237"/>
      <c r="Y209" s="237">
        <v>0.2</v>
      </c>
      <c r="Z209" s="237">
        <v>1.5289999999999999</v>
      </c>
      <c r="AA209" s="237"/>
      <c r="AB209" s="237"/>
      <c r="AC209" s="227">
        <f t="shared" si="94"/>
        <v>0</v>
      </c>
      <c r="AD209" s="239">
        <f t="shared" si="95"/>
        <v>0</v>
      </c>
      <c r="AE209" s="237"/>
      <c r="AF209" s="237"/>
      <c r="AG209" s="237"/>
      <c r="AH209" s="237"/>
      <c r="AI209" s="237"/>
      <c r="AJ209" s="239">
        <f t="shared" si="96"/>
        <v>0</v>
      </c>
      <c r="AK209" s="237"/>
      <c r="AL209" s="237"/>
      <c r="AM209" s="237"/>
      <c r="AN209" s="237"/>
      <c r="AO209" s="237"/>
      <c r="AP209" s="196">
        <v>181.8</v>
      </c>
      <c r="AQ209" s="334">
        <f t="shared" si="97"/>
        <v>0.57633333333333325</v>
      </c>
      <c r="AR209" s="207">
        <f>AC209/I209</f>
        <v>0</v>
      </c>
      <c r="AS209" s="196"/>
      <c r="AT209" s="196"/>
    </row>
    <row r="210" spans="1:46" hidden="1">
      <c r="A210" s="233">
        <v>21</v>
      </c>
      <c r="B210" s="233" t="s">
        <v>318</v>
      </c>
      <c r="C210" s="270">
        <f t="shared" si="88"/>
        <v>4.5</v>
      </c>
      <c r="D210" s="233"/>
      <c r="E210" s="233"/>
      <c r="F210" s="233">
        <v>2.5</v>
      </c>
      <c r="G210" s="233">
        <v>2</v>
      </c>
      <c r="H210" s="233"/>
      <c r="I210" s="249">
        <f t="shared" si="89"/>
        <v>14</v>
      </c>
      <c r="J210" s="240">
        <f t="shared" si="90"/>
        <v>6</v>
      </c>
      <c r="K210" s="196">
        <v>6</v>
      </c>
      <c r="L210" s="196"/>
      <c r="M210" s="196"/>
      <c r="N210" s="196"/>
      <c r="O210" s="196"/>
      <c r="P210" s="240">
        <f t="shared" si="91"/>
        <v>8</v>
      </c>
      <c r="Q210" s="196"/>
      <c r="R210" s="196"/>
      <c r="S210" s="196">
        <v>8</v>
      </c>
      <c r="T210" s="196"/>
      <c r="U210" s="196"/>
      <c r="V210" s="238">
        <f t="shared" si="92"/>
        <v>1617.998</v>
      </c>
      <c r="W210" s="227">
        <f t="shared" si="93"/>
        <v>7.25</v>
      </c>
      <c r="X210" s="237"/>
      <c r="Y210" s="237">
        <v>0.5</v>
      </c>
      <c r="Z210" s="237">
        <v>4</v>
      </c>
      <c r="AA210" s="237">
        <v>2.75</v>
      </c>
      <c r="AB210" s="237"/>
      <c r="AC210" s="227">
        <f t="shared" si="94"/>
        <v>7.3959999999999999</v>
      </c>
      <c r="AD210" s="239">
        <f t="shared" si="95"/>
        <v>3.37</v>
      </c>
      <c r="AE210" s="237">
        <v>2.5</v>
      </c>
      <c r="AF210" s="237"/>
      <c r="AG210" s="237">
        <v>0.87</v>
      </c>
      <c r="AH210" s="237"/>
      <c r="AI210" s="237"/>
      <c r="AJ210" s="239">
        <f t="shared" si="96"/>
        <v>4.0259999999999998</v>
      </c>
      <c r="AK210" s="237">
        <v>4.0259999999999998</v>
      </c>
      <c r="AL210" s="237"/>
      <c r="AM210" s="237"/>
      <c r="AN210" s="237"/>
      <c r="AO210" s="237"/>
      <c r="AP210" s="196">
        <v>2051.5</v>
      </c>
      <c r="AQ210" s="334">
        <f t="shared" si="97"/>
        <v>1.6111111111111112</v>
      </c>
      <c r="AR210" s="207">
        <f>AC210/I210</f>
        <v>0.52828571428571425</v>
      </c>
      <c r="AS210" s="196"/>
      <c r="AT210" s="196"/>
    </row>
    <row r="211" spans="1:46" hidden="1">
      <c r="A211" s="233">
        <v>22</v>
      </c>
      <c r="B211" s="233" t="s">
        <v>319</v>
      </c>
      <c r="C211" s="270">
        <f t="shared" si="88"/>
        <v>1</v>
      </c>
      <c r="D211" s="233"/>
      <c r="E211" s="233"/>
      <c r="F211" s="233">
        <v>1</v>
      </c>
      <c r="G211" s="233"/>
      <c r="H211" s="233"/>
      <c r="I211" s="249">
        <f t="shared" si="89"/>
        <v>1</v>
      </c>
      <c r="J211" s="240">
        <f t="shared" si="90"/>
        <v>0</v>
      </c>
      <c r="K211" s="196"/>
      <c r="L211" s="196"/>
      <c r="M211" s="196"/>
      <c r="N211" s="196"/>
      <c r="O211" s="196"/>
      <c r="P211" s="240">
        <f t="shared" si="91"/>
        <v>1</v>
      </c>
      <c r="Q211" s="196"/>
      <c r="R211" s="196"/>
      <c r="S211" s="196"/>
      <c r="T211" s="196">
        <v>1</v>
      </c>
      <c r="U211" s="196"/>
      <c r="V211" s="238">
        <f t="shared" si="92"/>
        <v>162.298</v>
      </c>
      <c r="W211" s="227">
        <f t="shared" si="93"/>
        <v>0.45</v>
      </c>
      <c r="X211" s="237"/>
      <c r="Y211" s="237"/>
      <c r="Z211" s="237">
        <v>0.45</v>
      </c>
      <c r="AA211" s="237"/>
      <c r="AB211" s="237"/>
      <c r="AC211" s="227">
        <f t="shared" si="94"/>
        <v>0.2</v>
      </c>
      <c r="AD211" s="239">
        <f t="shared" si="95"/>
        <v>0</v>
      </c>
      <c r="AE211" s="237"/>
      <c r="AF211" s="237"/>
      <c r="AG211" s="237"/>
      <c r="AH211" s="237"/>
      <c r="AI211" s="237"/>
      <c r="AJ211" s="239">
        <f t="shared" si="96"/>
        <v>0.2</v>
      </c>
      <c r="AK211" s="237"/>
      <c r="AL211" s="237"/>
      <c r="AM211" s="237"/>
      <c r="AN211" s="237">
        <v>0.2</v>
      </c>
      <c r="AO211" s="237"/>
      <c r="AP211" s="196">
        <v>60.1</v>
      </c>
      <c r="AQ211" s="334">
        <f t="shared" si="97"/>
        <v>0.45</v>
      </c>
      <c r="AR211" s="207">
        <f>AC211/I211</f>
        <v>0.2</v>
      </c>
      <c r="AS211" s="196"/>
      <c r="AT211" s="196"/>
    </row>
    <row r="212" spans="1:46" hidden="1">
      <c r="A212" s="177" t="s">
        <v>26</v>
      </c>
      <c r="B212" s="178" t="s">
        <v>295</v>
      </c>
      <c r="C212" s="196"/>
      <c r="D212" s="196"/>
      <c r="E212" s="196"/>
      <c r="F212" s="196"/>
      <c r="G212" s="196"/>
      <c r="H212" s="196"/>
      <c r="I212" s="196"/>
      <c r="J212" s="196"/>
      <c r="K212" s="196"/>
      <c r="L212" s="196"/>
      <c r="M212" s="196"/>
      <c r="N212" s="196"/>
      <c r="O212" s="196"/>
      <c r="P212" s="196"/>
      <c r="Q212" s="196"/>
      <c r="R212" s="196"/>
      <c r="S212" s="196"/>
      <c r="T212" s="196"/>
      <c r="U212" s="196"/>
      <c r="V212" s="238"/>
      <c r="W212" s="227"/>
      <c r="X212" s="237"/>
      <c r="Y212" s="237"/>
      <c r="Z212" s="237"/>
      <c r="AA212" s="237"/>
      <c r="AB212" s="237"/>
      <c r="AC212" s="227"/>
      <c r="AD212" s="239"/>
      <c r="AE212" s="237"/>
      <c r="AF212" s="237"/>
      <c r="AG212" s="237"/>
      <c r="AH212" s="237"/>
      <c r="AI212" s="237"/>
      <c r="AJ212" s="239"/>
      <c r="AK212" s="237"/>
      <c r="AL212" s="237"/>
      <c r="AM212" s="237"/>
      <c r="AN212" s="237"/>
      <c r="AO212" s="237"/>
      <c r="AP212" s="196"/>
      <c r="AQ212" s="334"/>
      <c r="AR212" s="207"/>
      <c r="AS212" s="196"/>
      <c r="AT212" s="196"/>
    </row>
    <row r="213" spans="1:46" hidden="1">
      <c r="A213" s="271">
        <v>1</v>
      </c>
      <c r="B213" s="272" t="s">
        <v>320</v>
      </c>
      <c r="C213" s="214">
        <f>D213+E213+F213+G213</f>
        <v>2.5</v>
      </c>
      <c r="D213" s="196"/>
      <c r="E213" s="196">
        <v>1.5</v>
      </c>
      <c r="F213" s="245">
        <v>1</v>
      </c>
      <c r="G213" s="270"/>
      <c r="H213" s="196"/>
      <c r="I213" s="249">
        <f>J213+P213</f>
        <v>3</v>
      </c>
      <c r="J213" s="240">
        <f>SUM(K213:O213)</f>
        <v>0</v>
      </c>
      <c r="K213" s="196"/>
      <c r="L213" s="196"/>
      <c r="M213" s="196"/>
      <c r="N213" s="196"/>
      <c r="O213" s="196"/>
      <c r="P213" s="240">
        <f>SUM(Q213:U213)</f>
        <v>3</v>
      </c>
      <c r="Q213" s="196">
        <v>1</v>
      </c>
      <c r="R213" s="196"/>
      <c r="S213" s="196">
        <v>1</v>
      </c>
      <c r="T213" s="196">
        <v>1</v>
      </c>
      <c r="U213" s="196"/>
      <c r="V213" s="238">
        <f>D213*194.67+E213*173.04+F213*111.72+G213*111.72+H213*127.68+K213*86.255+L213*71.648+M213*84.489+N213*58.258+O213*53.065+Q213*72.658+R213*60.9+S213*74.716+T213*50.578+U213*46.62</f>
        <v>569.23199999999997</v>
      </c>
      <c r="W213" s="227">
        <f>SUM(X213:AB213)</f>
        <v>7.5</v>
      </c>
      <c r="X213" s="237"/>
      <c r="Y213" s="237">
        <v>2</v>
      </c>
      <c r="Z213" s="237">
        <v>5.5</v>
      </c>
      <c r="AA213" s="237"/>
      <c r="AB213" s="237"/>
      <c r="AC213" s="227">
        <f>AD213+AJ213</f>
        <v>0.8</v>
      </c>
      <c r="AD213" s="239">
        <f>SUM(AE213:AI213)</f>
        <v>0.8</v>
      </c>
      <c r="AE213" s="237"/>
      <c r="AF213" s="237"/>
      <c r="AG213" s="237">
        <v>0.8</v>
      </c>
      <c r="AH213" s="237"/>
      <c r="AI213" s="237"/>
      <c r="AJ213" s="239">
        <f>SUM(AK213:AO213)</f>
        <v>0</v>
      </c>
      <c r="AK213" s="237"/>
      <c r="AL213" s="237"/>
      <c r="AM213" s="237"/>
      <c r="AN213" s="237"/>
      <c r="AO213" s="237"/>
      <c r="AP213" s="196">
        <v>1559</v>
      </c>
      <c r="AQ213" s="334">
        <f>W213/C213</f>
        <v>3</v>
      </c>
      <c r="AR213" s="207">
        <f>AC213/I213</f>
        <v>0.26666666666666666</v>
      </c>
      <c r="AS213" s="196"/>
      <c r="AT213" s="196"/>
    </row>
    <row r="214" spans="1:46" hidden="1">
      <c r="A214" s="196"/>
      <c r="B214" s="241" t="s">
        <v>1</v>
      </c>
      <c r="C214" s="227">
        <f t="shared" ref="C214:AP214" si="99">SUM(C189:C213)</f>
        <v>45.97</v>
      </c>
      <c r="D214" s="227">
        <f t="shared" si="99"/>
        <v>1.2</v>
      </c>
      <c r="E214" s="227">
        <f t="shared" si="99"/>
        <v>9</v>
      </c>
      <c r="F214" s="227">
        <f t="shared" si="99"/>
        <v>22.4</v>
      </c>
      <c r="G214" s="227">
        <f t="shared" si="99"/>
        <v>12.399999999999999</v>
      </c>
      <c r="H214" s="227">
        <f t="shared" si="99"/>
        <v>0.97</v>
      </c>
      <c r="I214" s="227">
        <f t="shared" si="99"/>
        <v>77.069999999999993</v>
      </c>
      <c r="J214" s="227">
        <f t="shared" si="99"/>
        <v>11.100000000000001</v>
      </c>
      <c r="K214" s="227">
        <f t="shared" si="99"/>
        <v>7.9</v>
      </c>
      <c r="L214" s="227">
        <f t="shared" si="99"/>
        <v>3.2</v>
      </c>
      <c r="M214" s="227">
        <f t="shared" si="99"/>
        <v>0</v>
      </c>
      <c r="N214" s="227">
        <f t="shared" si="99"/>
        <v>0</v>
      </c>
      <c r="O214" s="227">
        <f t="shared" si="99"/>
        <v>0</v>
      </c>
      <c r="P214" s="227">
        <f t="shared" si="99"/>
        <v>65.97</v>
      </c>
      <c r="Q214" s="227">
        <f t="shared" si="99"/>
        <v>3.35</v>
      </c>
      <c r="R214" s="227">
        <f t="shared" si="99"/>
        <v>9.26</v>
      </c>
      <c r="S214" s="227">
        <f t="shared" si="99"/>
        <v>21.16</v>
      </c>
      <c r="T214" s="227">
        <f t="shared" si="99"/>
        <v>32.200000000000003</v>
      </c>
      <c r="U214" s="227">
        <f t="shared" si="99"/>
        <v>0</v>
      </c>
      <c r="V214" s="242">
        <f t="shared" si="99"/>
        <v>10730.29816</v>
      </c>
      <c r="W214" s="227">
        <f t="shared" si="99"/>
        <v>53.970000000000006</v>
      </c>
      <c r="X214" s="227">
        <f t="shared" si="99"/>
        <v>0</v>
      </c>
      <c r="Y214" s="227">
        <f t="shared" si="99"/>
        <v>10.399000000000001</v>
      </c>
      <c r="Z214" s="227">
        <f t="shared" si="99"/>
        <v>36.472000000000001</v>
      </c>
      <c r="AA214" s="227">
        <f t="shared" si="99"/>
        <v>7.0990000000000002</v>
      </c>
      <c r="AB214" s="227">
        <f t="shared" si="99"/>
        <v>0</v>
      </c>
      <c r="AC214" s="227">
        <f t="shared" si="99"/>
        <v>36.465000000000003</v>
      </c>
      <c r="AD214" s="227">
        <f t="shared" si="99"/>
        <v>6.4539999999999997</v>
      </c>
      <c r="AE214" s="227">
        <f t="shared" si="99"/>
        <v>2.8</v>
      </c>
      <c r="AF214" s="227">
        <f t="shared" si="99"/>
        <v>1.8139999999999998</v>
      </c>
      <c r="AG214" s="227">
        <f t="shared" si="99"/>
        <v>1.67</v>
      </c>
      <c r="AH214" s="227">
        <f t="shared" si="99"/>
        <v>0.17</v>
      </c>
      <c r="AI214" s="227">
        <f t="shared" si="99"/>
        <v>0</v>
      </c>
      <c r="AJ214" s="227">
        <f t="shared" si="99"/>
        <v>30.010999999999996</v>
      </c>
      <c r="AK214" s="227">
        <f t="shared" si="99"/>
        <v>4.0259999999999998</v>
      </c>
      <c r="AL214" s="227">
        <f t="shared" si="99"/>
        <v>16.795000000000002</v>
      </c>
      <c r="AM214" s="227">
        <f t="shared" si="99"/>
        <v>0</v>
      </c>
      <c r="AN214" s="227">
        <f t="shared" si="99"/>
        <v>9.19</v>
      </c>
      <c r="AO214" s="227">
        <f t="shared" si="99"/>
        <v>0</v>
      </c>
      <c r="AP214" s="242">
        <f t="shared" si="99"/>
        <v>11469.550000000001</v>
      </c>
      <c r="AQ214" s="332">
        <f>W214/C214</f>
        <v>1.1740265390472049</v>
      </c>
      <c r="AR214" s="226">
        <f>AC214/I214</f>
        <v>0.47314130011677702</v>
      </c>
      <c r="AS214" s="227">
        <f>SUM(AS189:AS213)</f>
        <v>0</v>
      </c>
      <c r="AT214" s="227">
        <f>SUM(AT189:AT213)</f>
        <v>0</v>
      </c>
    </row>
    <row r="215" spans="1:46" hidden="1">
      <c r="D215" s="273"/>
      <c r="E215" s="273"/>
      <c r="F215" s="273"/>
      <c r="G215" s="273"/>
      <c r="H215" s="273"/>
    </row>
    <row r="216" spans="1:46" hidden="1">
      <c r="B216" s="538" t="s">
        <v>190</v>
      </c>
      <c r="C216" s="539"/>
      <c r="D216" s="539"/>
      <c r="E216" s="539"/>
      <c r="F216" s="539"/>
      <c r="V216" s="173" t="s">
        <v>191</v>
      </c>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331"/>
    </row>
    <row r="217" spans="1:46" hidden="1">
      <c r="B217" s="538" t="s">
        <v>321</v>
      </c>
      <c r="C217" s="539"/>
      <c r="D217" s="539"/>
      <c r="E217" s="539"/>
      <c r="F217" s="539"/>
      <c r="V217" s="173" t="s">
        <v>193</v>
      </c>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331"/>
    </row>
    <row r="218" spans="1:46" hidden="1">
      <c r="B218" s="172"/>
      <c r="C218" s="172"/>
      <c r="D218" s="172"/>
      <c r="E218" s="172"/>
      <c r="F218" s="172"/>
      <c r="V218" s="173"/>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331"/>
    </row>
    <row r="219" spans="1:46" hidden="1">
      <c r="A219" s="542" t="str">
        <f>A137</f>
        <v>Biểu 5: KẾT QUẢ THỰC HIỆN KẾ HOẠCH LÀM ĐƯỜNG GTNT, RÃNH THOÁT NƯỚC THEO CƠ CHẾ HỖ TRỢ XI MĂNG ĐẾN NGÀY 19/12/2016</v>
      </c>
      <c r="B219" s="542"/>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row>
    <row r="220" spans="1:46" hidden="1">
      <c r="A220" s="543"/>
      <c r="B220" s="543"/>
      <c r="C220" s="543"/>
      <c r="D220" s="543"/>
      <c r="E220" s="543"/>
      <c r="F220" s="543"/>
      <c r="G220" s="543"/>
      <c r="H220" s="543"/>
      <c r="I220" s="543"/>
      <c r="J220" s="543"/>
      <c r="K220" s="543"/>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3"/>
      <c r="AK220" s="543"/>
      <c r="AL220" s="543"/>
      <c r="AM220" s="543"/>
      <c r="AN220" s="543"/>
      <c r="AO220" s="543"/>
      <c r="AP220" s="543"/>
      <c r="AQ220" s="543"/>
      <c r="AR220" s="543"/>
      <c r="AS220" s="543"/>
      <c r="AT220" s="543"/>
    </row>
    <row r="221" spans="1:46" ht="14.25" hidden="1" customHeight="1">
      <c r="A221" s="544" t="s">
        <v>0</v>
      </c>
      <c r="B221" s="533" t="s">
        <v>161</v>
      </c>
      <c r="C221" s="546" t="s">
        <v>162</v>
      </c>
      <c r="D221" s="546"/>
      <c r="E221" s="546"/>
      <c r="F221" s="546"/>
      <c r="G221" s="546"/>
      <c r="H221" s="546"/>
      <c r="I221" s="546"/>
      <c r="J221" s="546"/>
      <c r="K221" s="546"/>
      <c r="L221" s="546"/>
      <c r="M221" s="546"/>
      <c r="N221" s="546"/>
      <c r="O221" s="546"/>
      <c r="P221" s="546"/>
      <c r="Q221" s="546"/>
      <c r="R221" s="546"/>
      <c r="S221" s="546"/>
      <c r="T221" s="546"/>
      <c r="U221" s="546"/>
      <c r="V221" s="546"/>
      <c r="W221" s="547" t="s">
        <v>163</v>
      </c>
      <c r="X221" s="547"/>
      <c r="Y221" s="547"/>
      <c r="Z221" s="547"/>
      <c r="AA221" s="547"/>
      <c r="AB221" s="547"/>
      <c r="AC221" s="547"/>
      <c r="AD221" s="547"/>
      <c r="AE221" s="547"/>
      <c r="AF221" s="547"/>
      <c r="AG221" s="547"/>
      <c r="AH221" s="547"/>
      <c r="AI221" s="547"/>
      <c r="AJ221" s="547"/>
      <c r="AK221" s="547"/>
      <c r="AL221" s="547"/>
      <c r="AM221" s="547"/>
      <c r="AN221" s="547"/>
      <c r="AO221" s="547"/>
      <c r="AP221" s="547"/>
      <c r="AQ221" s="547" t="s">
        <v>164</v>
      </c>
      <c r="AR221" s="547"/>
      <c r="AS221" s="547" t="s">
        <v>165</v>
      </c>
      <c r="AT221" s="547"/>
    </row>
    <row r="222" spans="1:46" ht="15" hidden="1" customHeight="1">
      <c r="A222" s="545"/>
      <c r="B222" s="534"/>
      <c r="C222" s="533" t="s">
        <v>166</v>
      </c>
      <c r="D222" s="536" t="s">
        <v>167</v>
      </c>
      <c r="E222" s="536"/>
      <c r="F222" s="536"/>
      <c r="G222" s="536"/>
      <c r="H222" s="536"/>
      <c r="I222" s="533" t="s">
        <v>168</v>
      </c>
      <c r="J222" s="537" t="s">
        <v>167</v>
      </c>
      <c r="K222" s="537"/>
      <c r="L222" s="537"/>
      <c r="M222" s="537"/>
      <c r="N222" s="537"/>
      <c r="O222" s="537"/>
      <c r="P222" s="537"/>
      <c r="Q222" s="537"/>
      <c r="R222" s="537"/>
      <c r="S222" s="537"/>
      <c r="T222" s="537"/>
      <c r="U222" s="537"/>
      <c r="V222" s="552" t="s">
        <v>169</v>
      </c>
      <c r="W222" s="533" t="s">
        <v>170</v>
      </c>
      <c r="X222" s="555" t="s">
        <v>167</v>
      </c>
      <c r="Y222" s="555"/>
      <c r="Z222" s="555"/>
      <c r="AA222" s="555"/>
      <c r="AB222" s="555"/>
      <c r="AC222" s="533" t="s">
        <v>168</v>
      </c>
      <c r="AD222" s="537" t="s">
        <v>167</v>
      </c>
      <c r="AE222" s="537"/>
      <c r="AF222" s="537"/>
      <c r="AG222" s="537"/>
      <c r="AH222" s="537"/>
      <c r="AI222" s="537"/>
      <c r="AJ222" s="537"/>
      <c r="AK222" s="537"/>
      <c r="AL222" s="537"/>
      <c r="AM222" s="537"/>
      <c r="AN222" s="537"/>
      <c r="AO222" s="537"/>
      <c r="AP222" s="552" t="s">
        <v>171</v>
      </c>
      <c r="AQ222" s="548" t="s">
        <v>172</v>
      </c>
      <c r="AR222" s="548" t="s">
        <v>173</v>
      </c>
      <c r="AS222" s="548" t="s">
        <v>170</v>
      </c>
      <c r="AT222" s="548" t="s">
        <v>168</v>
      </c>
    </row>
    <row r="223" spans="1:46" ht="15" hidden="1" customHeight="1">
      <c r="A223" s="545"/>
      <c r="B223" s="534"/>
      <c r="C223" s="534"/>
      <c r="D223" s="552" t="s">
        <v>174</v>
      </c>
      <c r="E223" s="552" t="s">
        <v>175</v>
      </c>
      <c r="F223" s="552" t="s">
        <v>176</v>
      </c>
      <c r="G223" s="552" t="s">
        <v>177</v>
      </c>
      <c r="H223" s="552" t="s">
        <v>178</v>
      </c>
      <c r="I223" s="534"/>
      <c r="J223" s="537" t="s">
        <v>179</v>
      </c>
      <c r="K223" s="537"/>
      <c r="L223" s="537"/>
      <c r="M223" s="537"/>
      <c r="N223" s="537"/>
      <c r="O223" s="537"/>
      <c r="P223" s="537" t="s">
        <v>180</v>
      </c>
      <c r="Q223" s="537"/>
      <c r="R223" s="537"/>
      <c r="S223" s="537"/>
      <c r="T223" s="537"/>
      <c r="U223" s="537"/>
      <c r="V223" s="553"/>
      <c r="W223" s="534"/>
      <c r="X223" s="552" t="s">
        <v>174</v>
      </c>
      <c r="Y223" s="552" t="s">
        <v>175</v>
      </c>
      <c r="Z223" s="552" t="s">
        <v>176</v>
      </c>
      <c r="AA223" s="552" t="s">
        <v>177</v>
      </c>
      <c r="AB223" s="552" t="s">
        <v>178</v>
      </c>
      <c r="AC223" s="534"/>
      <c r="AD223" s="537" t="s">
        <v>179</v>
      </c>
      <c r="AE223" s="537"/>
      <c r="AF223" s="537"/>
      <c r="AG223" s="537"/>
      <c r="AH223" s="537"/>
      <c r="AI223" s="537"/>
      <c r="AJ223" s="537" t="s">
        <v>180</v>
      </c>
      <c r="AK223" s="537"/>
      <c r="AL223" s="537"/>
      <c r="AM223" s="537"/>
      <c r="AN223" s="537"/>
      <c r="AO223" s="537"/>
      <c r="AP223" s="553"/>
      <c r="AQ223" s="549"/>
      <c r="AR223" s="549"/>
      <c r="AS223" s="549"/>
      <c r="AT223" s="549"/>
    </row>
    <row r="224" spans="1:46" ht="15.5" hidden="1">
      <c r="A224" s="179"/>
      <c r="B224" s="534"/>
      <c r="C224" s="534"/>
      <c r="D224" s="553"/>
      <c r="E224" s="553"/>
      <c r="F224" s="553"/>
      <c r="G224" s="553"/>
      <c r="H224" s="553"/>
      <c r="I224" s="534"/>
      <c r="J224" s="556" t="s">
        <v>1</v>
      </c>
      <c r="K224" s="551" t="s">
        <v>181</v>
      </c>
      <c r="L224" s="551"/>
      <c r="M224" s="551" t="s">
        <v>182</v>
      </c>
      <c r="N224" s="551"/>
      <c r="O224" s="551" t="s">
        <v>183</v>
      </c>
      <c r="P224" s="556" t="s">
        <v>1</v>
      </c>
      <c r="Q224" s="551" t="s">
        <v>181</v>
      </c>
      <c r="R224" s="551"/>
      <c r="S224" s="551" t="s">
        <v>182</v>
      </c>
      <c r="T224" s="551"/>
      <c r="U224" s="551" t="s">
        <v>183</v>
      </c>
      <c r="V224" s="553"/>
      <c r="W224" s="534"/>
      <c r="X224" s="553"/>
      <c r="Y224" s="553"/>
      <c r="Z224" s="553"/>
      <c r="AA224" s="553"/>
      <c r="AB224" s="553"/>
      <c r="AC224" s="534"/>
      <c r="AD224" s="556" t="s">
        <v>1</v>
      </c>
      <c r="AE224" s="551" t="s">
        <v>181</v>
      </c>
      <c r="AF224" s="551"/>
      <c r="AG224" s="551" t="s">
        <v>182</v>
      </c>
      <c r="AH224" s="551"/>
      <c r="AI224" s="551" t="s">
        <v>183</v>
      </c>
      <c r="AJ224" s="556" t="s">
        <v>1</v>
      </c>
      <c r="AK224" s="551" t="s">
        <v>181</v>
      </c>
      <c r="AL224" s="551"/>
      <c r="AM224" s="551" t="s">
        <v>182</v>
      </c>
      <c r="AN224" s="551"/>
      <c r="AO224" s="551" t="s">
        <v>183</v>
      </c>
      <c r="AP224" s="553"/>
      <c r="AQ224" s="549"/>
      <c r="AR224" s="549"/>
      <c r="AS224" s="549"/>
      <c r="AT224" s="549"/>
    </row>
    <row r="225" spans="1:46" ht="90" hidden="1" customHeight="1">
      <c r="A225" s="179"/>
      <c r="B225" s="535"/>
      <c r="C225" s="535"/>
      <c r="D225" s="554"/>
      <c r="E225" s="554"/>
      <c r="F225" s="554"/>
      <c r="G225" s="554"/>
      <c r="H225" s="554"/>
      <c r="I225" s="535"/>
      <c r="J225" s="557"/>
      <c r="K225" s="186" t="s">
        <v>184</v>
      </c>
      <c r="L225" s="186" t="s">
        <v>185</v>
      </c>
      <c r="M225" s="186" t="s">
        <v>184</v>
      </c>
      <c r="N225" s="186" t="s">
        <v>185</v>
      </c>
      <c r="O225" s="551"/>
      <c r="P225" s="557"/>
      <c r="Q225" s="186" t="s">
        <v>184</v>
      </c>
      <c r="R225" s="186" t="s">
        <v>185</v>
      </c>
      <c r="S225" s="186" t="s">
        <v>184</v>
      </c>
      <c r="T225" s="186" t="s">
        <v>185</v>
      </c>
      <c r="U225" s="551"/>
      <c r="V225" s="554"/>
      <c r="W225" s="535"/>
      <c r="X225" s="554"/>
      <c r="Y225" s="554"/>
      <c r="Z225" s="554"/>
      <c r="AA225" s="554"/>
      <c r="AB225" s="554"/>
      <c r="AC225" s="535"/>
      <c r="AD225" s="557"/>
      <c r="AE225" s="186" t="s">
        <v>184</v>
      </c>
      <c r="AF225" s="186" t="s">
        <v>185</v>
      </c>
      <c r="AG225" s="186" t="s">
        <v>184</v>
      </c>
      <c r="AH225" s="186" t="s">
        <v>185</v>
      </c>
      <c r="AI225" s="551"/>
      <c r="AJ225" s="557"/>
      <c r="AK225" s="186" t="s">
        <v>184</v>
      </c>
      <c r="AL225" s="186" t="s">
        <v>185</v>
      </c>
      <c r="AM225" s="186" t="s">
        <v>184</v>
      </c>
      <c r="AN225" s="186" t="s">
        <v>185</v>
      </c>
      <c r="AO225" s="551"/>
      <c r="AP225" s="554"/>
      <c r="AQ225" s="550"/>
      <c r="AR225" s="550"/>
      <c r="AS225" s="550"/>
      <c r="AT225" s="550"/>
    </row>
    <row r="226" spans="1:46" hidden="1">
      <c r="A226" s="177" t="s">
        <v>25</v>
      </c>
      <c r="B226" s="178" t="s">
        <v>215</v>
      </c>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245"/>
      <c r="AR226" s="196"/>
      <c r="AS226" s="196"/>
      <c r="AT226" s="196"/>
    </row>
    <row r="227" spans="1:46" hidden="1">
      <c r="A227" s="245">
        <v>1</v>
      </c>
      <c r="B227" s="196" t="s">
        <v>322</v>
      </c>
      <c r="C227" s="262">
        <f>SUM(D227:H227)</f>
        <v>1.92</v>
      </c>
      <c r="D227" s="196"/>
      <c r="E227" s="196">
        <v>0.72</v>
      </c>
      <c r="F227" s="196"/>
      <c r="G227" s="196">
        <v>1.2</v>
      </c>
      <c r="H227" s="196"/>
      <c r="I227" s="249">
        <f>J227+P227</f>
        <v>0.54</v>
      </c>
      <c r="J227" s="240">
        <f>SUM(K227:O227)</f>
        <v>0</v>
      </c>
      <c r="K227" s="196"/>
      <c r="L227" s="196"/>
      <c r="M227" s="196"/>
      <c r="N227" s="196"/>
      <c r="O227" s="196"/>
      <c r="P227" s="240">
        <f>SUM(Q227:U227)</f>
        <v>0.54</v>
      </c>
      <c r="Q227" s="196"/>
      <c r="R227" s="196"/>
      <c r="S227" s="196">
        <v>0.54</v>
      </c>
      <c r="T227" s="196"/>
      <c r="U227" s="196"/>
      <c r="V227" s="238">
        <f>D227*194.67+E227*173.04+F227*111.72+G227*111.72+H227*127.68+K227*86.255+L227*71.648+M227*84.489+N227*58.258+O227*53.065+Q227*72.658+R227*60.9+S227*74.716+T227*50.578+U227*46.62</f>
        <v>298.99943999999994</v>
      </c>
      <c r="W227" s="227">
        <f>SUM(X227:AB227)</f>
        <v>0.46200000000000002</v>
      </c>
      <c r="X227" s="198"/>
      <c r="Y227" s="198">
        <v>0.46200000000000002</v>
      </c>
      <c r="Z227" s="198"/>
      <c r="AA227" s="198"/>
      <c r="AB227" s="198"/>
      <c r="AC227" s="227">
        <v>0.24399999999999999</v>
      </c>
      <c r="AD227" s="239">
        <f>SUM(AE227:AI227)</f>
        <v>0</v>
      </c>
      <c r="AE227" s="237"/>
      <c r="AF227" s="237"/>
      <c r="AG227" s="237"/>
      <c r="AH227" s="237"/>
      <c r="AI227" s="237"/>
      <c r="AJ227" s="239">
        <f>SUM(AK227:AO227)</f>
        <v>0</v>
      </c>
      <c r="AK227" s="237"/>
      <c r="AL227" s="237"/>
      <c r="AM227" s="237"/>
      <c r="AN227" s="237"/>
      <c r="AO227" s="237"/>
      <c r="AP227" s="196">
        <v>118.59</v>
      </c>
      <c r="AQ227" s="334">
        <f>W227/C227</f>
        <v>0.24062500000000003</v>
      </c>
      <c r="AR227" s="207">
        <f>AC227/I227</f>
        <v>0.45185185185185184</v>
      </c>
      <c r="AS227" s="196"/>
      <c r="AT227" s="196"/>
    </row>
    <row r="228" spans="1:46" hidden="1">
      <c r="A228" s="177" t="s">
        <v>26</v>
      </c>
      <c r="B228" s="178" t="s">
        <v>253</v>
      </c>
      <c r="C228" s="196"/>
      <c r="D228" s="196"/>
      <c r="E228" s="196"/>
      <c r="F228" s="196"/>
      <c r="G228" s="196"/>
      <c r="H228" s="196"/>
      <c r="I228" s="196"/>
      <c r="J228" s="196"/>
      <c r="K228" s="196"/>
      <c r="L228" s="196"/>
      <c r="M228" s="196"/>
      <c r="N228" s="196"/>
      <c r="O228" s="196"/>
      <c r="P228" s="196"/>
      <c r="Q228" s="196"/>
      <c r="R228" s="196"/>
      <c r="S228" s="196"/>
      <c r="T228" s="196"/>
      <c r="U228" s="196"/>
      <c r="V228" s="238"/>
      <c r="W228" s="196"/>
      <c r="X228" s="198"/>
      <c r="Y228" s="198"/>
      <c r="Z228" s="198"/>
      <c r="AA228" s="198"/>
      <c r="AB228" s="198"/>
      <c r="AC228" s="196"/>
      <c r="AD228" s="196"/>
      <c r="AE228" s="196"/>
      <c r="AF228" s="196"/>
      <c r="AG228" s="196"/>
      <c r="AH228" s="196"/>
      <c r="AI228" s="196"/>
      <c r="AJ228" s="196"/>
      <c r="AK228" s="196"/>
      <c r="AL228" s="196"/>
      <c r="AM228" s="196"/>
      <c r="AN228" s="196"/>
      <c r="AO228" s="196"/>
      <c r="AP228" s="196"/>
      <c r="AQ228" s="245"/>
      <c r="AR228" s="196"/>
      <c r="AS228" s="196"/>
      <c r="AT228" s="196"/>
    </row>
    <row r="229" spans="1:46" hidden="1">
      <c r="A229" s="274">
        <v>1</v>
      </c>
      <c r="B229" s="275" t="s">
        <v>323</v>
      </c>
      <c r="C229" s="214">
        <f>D229+E229+F229+G229</f>
        <v>0.33999999999999997</v>
      </c>
      <c r="D229" s="276"/>
      <c r="E229" s="276">
        <v>0.25</v>
      </c>
      <c r="F229" s="245">
        <v>0.09</v>
      </c>
      <c r="G229" s="276"/>
      <c r="H229" s="244"/>
      <c r="I229" s="249">
        <f>J229+P229</f>
        <v>0</v>
      </c>
      <c r="J229" s="240">
        <f>SUM(K229:O229)</f>
        <v>0</v>
      </c>
      <c r="K229" s="196"/>
      <c r="L229" s="196"/>
      <c r="M229" s="196"/>
      <c r="N229" s="196"/>
      <c r="O229" s="196"/>
      <c r="P229" s="240">
        <f>SUM(Q229:U229)</f>
        <v>0</v>
      </c>
      <c r="Q229" s="196"/>
      <c r="R229" s="196"/>
      <c r="S229" s="196"/>
      <c r="T229" s="196"/>
      <c r="U229" s="196"/>
      <c r="V229" s="238">
        <f>D229*194.67+E229*173.04+F229*111.72+G229*111.72+H229*127.68+K229*86.255+L229*71.648+M229*84.489+N229*58.258+O229*53.065+Q229*72.658+R229*60.9+S229*74.716+T229*50.578+U229*46.62</f>
        <v>53.314799999999998</v>
      </c>
      <c r="W229" s="227">
        <f>SUM(X229:AB229)</f>
        <v>7.6999999999999999E-2</v>
      </c>
      <c r="X229" s="198"/>
      <c r="Y229" s="198">
        <v>7.6999999999999999E-2</v>
      </c>
      <c r="Z229" s="198"/>
      <c r="AA229" s="198"/>
      <c r="AB229" s="198"/>
      <c r="AC229" s="227">
        <v>0.49199999999999999</v>
      </c>
      <c r="AD229" s="239">
        <f>SUM(AE229:AI229)</f>
        <v>0</v>
      </c>
      <c r="AE229" s="196"/>
      <c r="AF229" s="196"/>
      <c r="AG229" s="196"/>
      <c r="AH229" s="196"/>
      <c r="AI229" s="196"/>
      <c r="AJ229" s="239">
        <f>SUM(AK229:AO229)</f>
        <v>0</v>
      </c>
      <c r="AK229" s="234"/>
      <c r="AL229" s="234"/>
      <c r="AM229" s="234"/>
      <c r="AN229" s="234"/>
      <c r="AO229" s="234"/>
      <c r="AP229" s="196">
        <v>56.78</v>
      </c>
      <c r="AQ229" s="334">
        <f>W229/C229</f>
        <v>0.22647058823529415</v>
      </c>
      <c r="AR229" s="207"/>
      <c r="AS229" s="196"/>
      <c r="AT229" s="196"/>
    </row>
    <row r="230" spans="1:46" hidden="1">
      <c r="A230" s="274">
        <v>2</v>
      </c>
      <c r="B230" s="275" t="s">
        <v>324</v>
      </c>
      <c r="C230" s="214">
        <f>D230+E230+F230+G230</f>
        <v>0.7</v>
      </c>
      <c r="D230" s="276"/>
      <c r="E230" s="276">
        <v>0.4</v>
      </c>
      <c r="F230" s="245">
        <v>0.3</v>
      </c>
      <c r="G230" s="276"/>
      <c r="H230" s="244"/>
      <c r="I230" s="249">
        <f>J230+P230</f>
        <v>0</v>
      </c>
      <c r="J230" s="240">
        <f>SUM(K230:O230)</f>
        <v>0</v>
      </c>
      <c r="K230" s="196"/>
      <c r="L230" s="196"/>
      <c r="M230" s="196"/>
      <c r="N230" s="196"/>
      <c r="O230" s="196"/>
      <c r="P230" s="240">
        <f>SUM(Q230:U230)</f>
        <v>0</v>
      </c>
      <c r="Q230" s="196"/>
      <c r="R230" s="196"/>
      <c r="S230" s="196"/>
      <c r="T230" s="196"/>
      <c r="U230" s="196"/>
      <c r="V230" s="238">
        <f>D230*194.67+E230*173.04+F230*111.72+G230*111.72+H230*127.68+K230*86.255+L230*71.648+M230*84.489+N230*58.258+O230*53.065+Q230*72.658+R230*60.9+S230*74.716+T230*50.578+U230*46.62</f>
        <v>102.732</v>
      </c>
      <c r="W230" s="227">
        <f>SUM(X230:AB230)</f>
        <v>0.82899999999999996</v>
      </c>
      <c r="X230" s="198"/>
      <c r="Y230" s="198">
        <f>0.632+0.197</f>
        <v>0.82899999999999996</v>
      </c>
      <c r="Z230" s="198"/>
      <c r="AA230" s="198"/>
      <c r="AB230" s="198"/>
      <c r="AC230" s="227">
        <v>0.90500000000000003</v>
      </c>
      <c r="AD230" s="239">
        <f>SUM(AE230:AI230)</f>
        <v>0</v>
      </c>
      <c r="AE230" s="196"/>
      <c r="AF230" s="196"/>
      <c r="AG230" s="196"/>
      <c r="AH230" s="196"/>
      <c r="AI230" s="196"/>
      <c r="AJ230" s="239">
        <f>SUM(AK230:AO230)</f>
        <v>0</v>
      </c>
      <c r="AK230" s="234"/>
      <c r="AL230" s="234"/>
      <c r="AM230" s="234"/>
      <c r="AN230" s="234"/>
      <c r="AO230" s="234"/>
      <c r="AP230" s="196">
        <v>270.58999999999997</v>
      </c>
      <c r="AQ230" s="334">
        <f>W230/C230</f>
        <v>1.1842857142857144</v>
      </c>
      <c r="AR230" s="207"/>
      <c r="AS230" s="196"/>
      <c r="AT230" s="196"/>
    </row>
    <row r="231" spans="1:46" hidden="1">
      <c r="A231" s="274">
        <v>3</v>
      </c>
      <c r="B231" s="275" t="s">
        <v>325</v>
      </c>
      <c r="C231" s="214">
        <f>D231+E231+F231+G231</f>
        <v>1.66</v>
      </c>
      <c r="D231" s="276"/>
      <c r="E231" s="276">
        <v>0.16</v>
      </c>
      <c r="F231" s="245">
        <v>0</v>
      </c>
      <c r="G231" s="276">
        <v>1.5</v>
      </c>
      <c r="H231" s="244"/>
      <c r="I231" s="249">
        <f>J231+P231</f>
        <v>3.2</v>
      </c>
      <c r="J231" s="240">
        <f>SUM(K231:O231)</f>
        <v>0</v>
      </c>
      <c r="K231" s="196"/>
      <c r="L231" s="196"/>
      <c r="M231" s="196"/>
      <c r="N231" s="196"/>
      <c r="O231" s="196"/>
      <c r="P231" s="240">
        <f>SUM(Q231:U231)</f>
        <v>3.2</v>
      </c>
      <c r="Q231" s="196"/>
      <c r="R231" s="196"/>
      <c r="S231" s="196">
        <v>3.2</v>
      </c>
      <c r="T231" s="196"/>
      <c r="U231" s="196"/>
      <c r="V231" s="238">
        <f>D231*194.67+E231*173.04+F231*111.72+G231*111.72+H231*127.68+K231*86.255+L231*71.648+M231*84.489+N231*58.258+O231*53.065+Q231*72.658+R231*60.9+S231*74.716+T231*50.578+U231*46.62</f>
        <v>434.35759999999993</v>
      </c>
      <c r="W231" s="227">
        <f>SUM(X231:AB231)</f>
        <v>2.2480000000000002</v>
      </c>
      <c r="X231" s="198"/>
      <c r="Y231" s="198">
        <f>0.075+1.373</f>
        <v>1.448</v>
      </c>
      <c r="Z231" s="198"/>
      <c r="AA231" s="277">
        <v>0.8</v>
      </c>
      <c r="AB231" s="198"/>
      <c r="AC231" s="227">
        <v>2.8210000000000002</v>
      </c>
      <c r="AD231" s="239">
        <f>SUM(AE231:AI231)</f>
        <v>0</v>
      </c>
      <c r="AE231" s="196"/>
      <c r="AF231" s="196"/>
      <c r="AG231" s="196"/>
      <c r="AH231" s="196"/>
      <c r="AI231" s="196"/>
      <c r="AJ231" s="239">
        <f>SUM(AK231:AO231)</f>
        <v>2.4</v>
      </c>
      <c r="AK231" s="234"/>
      <c r="AL231" s="234"/>
      <c r="AM231" s="234">
        <v>2.4</v>
      </c>
      <c r="AN231" s="234"/>
      <c r="AO231" s="234"/>
      <c r="AP231" s="196">
        <v>445.6</v>
      </c>
      <c r="AQ231" s="334">
        <f>W231/C231</f>
        <v>1.3542168674698798</v>
      </c>
      <c r="AR231" s="207">
        <f>AC231/I231</f>
        <v>0.88156250000000003</v>
      </c>
      <c r="AS231" s="196"/>
      <c r="AT231" s="196"/>
    </row>
    <row r="232" spans="1:46" hidden="1">
      <c r="A232" s="197">
        <v>5</v>
      </c>
      <c r="B232" s="198" t="s">
        <v>326</v>
      </c>
      <c r="C232" s="214">
        <f>D232+E232+F232+G232</f>
        <v>2.12</v>
      </c>
      <c r="D232" s="276"/>
      <c r="E232" s="276">
        <v>0.92</v>
      </c>
      <c r="F232" s="245"/>
      <c r="G232" s="276">
        <v>1.2</v>
      </c>
      <c r="H232" s="244"/>
      <c r="I232" s="249">
        <f>J232+P232</f>
        <v>0</v>
      </c>
      <c r="J232" s="240">
        <f>SUM(K232:O232)</f>
        <v>0</v>
      </c>
      <c r="K232" s="196"/>
      <c r="L232" s="196"/>
      <c r="M232" s="196"/>
      <c r="N232" s="196"/>
      <c r="O232" s="196"/>
      <c r="P232" s="240">
        <f>SUM(Q232:U232)</f>
        <v>0</v>
      </c>
      <c r="Q232" s="196"/>
      <c r="R232" s="196"/>
      <c r="S232" s="196"/>
      <c r="T232" s="196"/>
      <c r="U232" s="196"/>
      <c r="V232" s="238">
        <f>D232*194.67+E232*173.04+F232*111.72+G232*111.72+H232*127.68+K232*86.255+L232*71.648+M232*84.489+N232*58.258+O232*53.065+Q232*72.658+R232*60.9+S232*74.716+T232*50.578+U232*46.62</f>
        <v>293.26080000000002</v>
      </c>
      <c r="W232" s="227">
        <f>SUM(X232:AB232)</f>
        <v>0.22600000000000001</v>
      </c>
      <c r="X232" s="198"/>
      <c r="Y232" s="278">
        <v>0.22600000000000001</v>
      </c>
      <c r="Z232" s="198"/>
      <c r="AA232" s="198"/>
      <c r="AB232" s="198"/>
      <c r="AC232" s="227">
        <v>0.16600000000000001</v>
      </c>
      <c r="AD232" s="239">
        <f>SUM(AE232:AI232)</f>
        <v>0</v>
      </c>
      <c r="AE232" s="196"/>
      <c r="AF232" s="262"/>
      <c r="AG232" s="196"/>
      <c r="AH232" s="196"/>
      <c r="AI232" s="196"/>
      <c r="AJ232" s="239">
        <f>SUM(AK232:AO232)</f>
        <v>0.16600000000000001</v>
      </c>
      <c r="AK232" s="234"/>
      <c r="AL232" s="234"/>
      <c r="AM232" s="234">
        <v>0.16600000000000001</v>
      </c>
      <c r="AN232" s="234"/>
      <c r="AO232" s="234"/>
      <c r="AP232" s="196">
        <v>96.5</v>
      </c>
      <c r="AQ232" s="334">
        <f>W232/C232</f>
        <v>0.10660377358490566</v>
      </c>
      <c r="AR232" s="207"/>
      <c r="AS232" s="196"/>
      <c r="AT232" s="196"/>
    </row>
    <row r="233" spans="1:46" hidden="1">
      <c r="A233" s="196"/>
      <c r="B233" s="241" t="s">
        <v>1</v>
      </c>
      <c r="C233" s="227">
        <f t="shared" ref="C233:AP233" si="100">SUM(C226:C232)</f>
        <v>6.74</v>
      </c>
      <c r="D233" s="227">
        <f t="shared" si="100"/>
        <v>0</v>
      </c>
      <c r="E233" s="227">
        <f t="shared" si="100"/>
        <v>2.4500000000000002</v>
      </c>
      <c r="F233" s="227">
        <f t="shared" si="100"/>
        <v>0.39</v>
      </c>
      <c r="G233" s="227">
        <f t="shared" si="100"/>
        <v>3.9000000000000004</v>
      </c>
      <c r="H233" s="227">
        <f t="shared" si="100"/>
        <v>0</v>
      </c>
      <c r="I233" s="227">
        <f t="shared" si="100"/>
        <v>3.74</v>
      </c>
      <c r="J233" s="227">
        <f t="shared" si="100"/>
        <v>0</v>
      </c>
      <c r="K233" s="227">
        <f t="shared" si="100"/>
        <v>0</v>
      </c>
      <c r="L233" s="227">
        <f t="shared" si="100"/>
        <v>0</v>
      </c>
      <c r="M233" s="227">
        <f t="shared" si="100"/>
        <v>0</v>
      </c>
      <c r="N233" s="227">
        <f t="shared" si="100"/>
        <v>0</v>
      </c>
      <c r="O233" s="227">
        <f t="shared" si="100"/>
        <v>0</v>
      </c>
      <c r="P233" s="227">
        <f t="shared" si="100"/>
        <v>3.74</v>
      </c>
      <c r="Q233" s="227">
        <f t="shared" si="100"/>
        <v>0</v>
      </c>
      <c r="R233" s="227">
        <f t="shared" si="100"/>
        <v>0</v>
      </c>
      <c r="S233" s="227">
        <f t="shared" si="100"/>
        <v>3.74</v>
      </c>
      <c r="T233" s="227">
        <f t="shared" si="100"/>
        <v>0</v>
      </c>
      <c r="U233" s="227">
        <f t="shared" si="100"/>
        <v>0</v>
      </c>
      <c r="V233" s="242">
        <f t="shared" si="100"/>
        <v>1182.66464</v>
      </c>
      <c r="W233" s="227">
        <f t="shared" si="100"/>
        <v>3.8420000000000001</v>
      </c>
      <c r="X233" s="227">
        <f t="shared" si="100"/>
        <v>0</v>
      </c>
      <c r="Y233" s="227">
        <f t="shared" si="100"/>
        <v>3.0419999999999998</v>
      </c>
      <c r="Z233" s="227">
        <f t="shared" si="100"/>
        <v>0</v>
      </c>
      <c r="AA233" s="227">
        <f t="shared" si="100"/>
        <v>0.8</v>
      </c>
      <c r="AB233" s="227">
        <f t="shared" si="100"/>
        <v>0</v>
      </c>
      <c r="AC233" s="227">
        <f t="shared" si="100"/>
        <v>4.6280000000000001</v>
      </c>
      <c r="AD233" s="227">
        <f t="shared" si="100"/>
        <v>0</v>
      </c>
      <c r="AE233" s="227">
        <f t="shared" si="100"/>
        <v>0</v>
      </c>
      <c r="AF233" s="227">
        <f t="shared" si="100"/>
        <v>0</v>
      </c>
      <c r="AG233" s="227">
        <f t="shared" si="100"/>
        <v>0</v>
      </c>
      <c r="AH233" s="227">
        <f t="shared" si="100"/>
        <v>0</v>
      </c>
      <c r="AI233" s="227">
        <f t="shared" si="100"/>
        <v>0</v>
      </c>
      <c r="AJ233" s="227">
        <f t="shared" si="100"/>
        <v>2.5659999999999998</v>
      </c>
      <c r="AK233" s="227">
        <f t="shared" si="100"/>
        <v>0</v>
      </c>
      <c r="AL233" s="227">
        <f t="shared" si="100"/>
        <v>0</v>
      </c>
      <c r="AM233" s="227">
        <f t="shared" si="100"/>
        <v>2.5659999999999998</v>
      </c>
      <c r="AN233" s="227">
        <f t="shared" si="100"/>
        <v>0</v>
      </c>
      <c r="AO233" s="227">
        <f t="shared" si="100"/>
        <v>0</v>
      </c>
      <c r="AP233" s="227">
        <f t="shared" si="100"/>
        <v>988.06</v>
      </c>
      <c r="AQ233" s="332">
        <f>W233/C233</f>
        <v>0.57002967359050449</v>
      </c>
      <c r="AR233" s="226">
        <f>AC233/I233</f>
        <v>1.2374331550802138</v>
      </c>
      <c r="AS233" s="227">
        <f>SUM(AS226:AS232)</f>
        <v>0</v>
      </c>
      <c r="AT233" s="227">
        <f>SUM(AT226:AT232)</f>
        <v>0</v>
      </c>
    </row>
    <row r="234" spans="1:46" hidden="1"/>
    <row r="235" spans="1:46" hidden="1">
      <c r="B235" s="538" t="s">
        <v>190</v>
      </c>
      <c r="C235" s="539"/>
      <c r="D235" s="539"/>
      <c r="E235" s="539"/>
      <c r="F235" s="539"/>
      <c r="V235" s="173" t="s">
        <v>191</v>
      </c>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331"/>
    </row>
    <row r="236" spans="1:46" hidden="1">
      <c r="B236" s="538" t="s">
        <v>327</v>
      </c>
      <c r="C236" s="539"/>
      <c r="D236" s="539"/>
      <c r="E236" s="539"/>
      <c r="F236" s="539"/>
      <c r="V236" s="173" t="s">
        <v>193</v>
      </c>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331"/>
    </row>
    <row r="237" spans="1:46" hidden="1">
      <c r="B237" s="172"/>
      <c r="C237" s="172"/>
      <c r="D237" s="172"/>
      <c r="E237" s="172"/>
      <c r="F237" s="172"/>
      <c r="V237" s="173"/>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331"/>
    </row>
    <row r="238" spans="1:46" hidden="1">
      <c r="A238" s="542" t="str">
        <f>A219</f>
        <v>Biểu 5: KẾT QUẢ THỰC HIỆN KẾ HOẠCH LÀM ĐƯỜNG GTNT, RÃNH THOÁT NƯỚC THEO CƠ CHẾ HỖ TRỢ XI MĂNG ĐẾN NGÀY 19/12/2016</v>
      </c>
      <c r="B238" s="542"/>
      <c r="C238" s="542"/>
      <c r="D238" s="542"/>
      <c r="E238" s="542"/>
      <c r="F238" s="542"/>
      <c r="G238" s="542"/>
      <c r="H238" s="542"/>
      <c r="I238" s="542"/>
      <c r="J238" s="542"/>
      <c r="K238" s="542"/>
      <c r="L238" s="542"/>
      <c r="M238" s="542"/>
      <c r="N238" s="542"/>
      <c r="O238" s="542"/>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row>
    <row r="239" spans="1:46" hidden="1">
      <c r="A239" s="543"/>
      <c r="B239" s="543"/>
      <c r="C239" s="543"/>
      <c r="D239" s="543"/>
      <c r="E239" s="543"/>
      <c r="F239" s="543"/>
      <c r="G239" s="543"/>
      <c r="H239" s="543"/>
      <c r="I239" s="543"/>
      <c r="J239" s="543"/>
      <c r="K239" s="543"/>
      <c r="L239" s="543"/>
      <c r="M239" s="543"/>
      <c r="N239" s="543"/>
      <c r="O239" s="543"/>
      <c r="P239" s="543"/>
      <c r="Q239" s="543"/>
      <c r="R239" s="543"/>
      <c r="S239" s="543"/>
      <c r="T239" s="543"/>
      <c r="U239" s="543"/>
      <c r="V239" s="543"/>
      <c r="W239" s="543"/>
      <c r="X239" s="543"/>
      <c r="Y239" s="543"/>
      <c r="Z239" s="543"/>
      <c r="AA239" s="543"/>
      <c r="AB239" s="543"/>
      <c r="AC239" s="543"/>
      <c r="AD239" s="543"/>
      <c r="AE239" s="543"/>
      <c r="AF239" s="543"/>
      <c r="AG239" s="543"/>
      <c r="AH239" s="543"/>
      <c r="AI239" s="543"/>
      <c r="AJ239" s="543"/>
      <c r="AK239" s="543"/>
      <c r="AL239" s="543"/>
      <c r="AM239" s="543"/>
      <c r="AN239" s="543"/>
      <c r="AO239" s="543"/>
      <c r="AP239" s="543"/>
      <c r="AQ239" s="543"/>
      <c r="AR239" s="543"/>
      <c r="AS239" s="543"/>
      <c r="AT239" s="543"/>
    </row>
    <row r="240" spans="1:46" ht="40.5" hidden="1" customHeight="1">
      <c r="A240" s="544" t="s">
        <v>0</v>
      </c>
      <c r="B240" s="533" t="s">
        <v>161</v>
      </c>
      <c r="C240" s="546" t="s">
        <v>162</v>
      </c>
      <c r="D240" s="546"/>
      <c r="E240" s="546"/>
      <c r="F240" s="546"/>
      <c r="G240" s="546"/>
      <c r="H240" s="546"/>
      <c r="I240" s="546"/>
      <c r="J240" s="546"/>
      <c r="K240" s="546"/>
      <c r="L240" s="546"/>
      <c r="M240" s="546"/>
      <c r="N240" s="546"/>
      <c r="O240" s="546"/>
      <c r="P240" s="546"/>
      <c r="Q240" s="546"/>
      <c r="R240" s="546"/>
      <c r="S240" s="546"/>
      <c r="T240" s="546"/>
      <c r="U240" s="546"/>
      <c r="V240" s="546"/>
      <c r="W240" s="547" t="s">
        <v>163</v>
      </c>
      <c r="X240" s="547"/>
      <c r="Y240" s="547"/>
      <c r="Z240" s="547"/>
      <c r="AA240" s="547"/>
      <c r="AB240" s="547"/>
      <c r="AC240" s="547"/>
      <c r="AD240" s="547"/>
      <c r="AE240" s="547"/>
      <c r="AF240" s="547"/>
      <c r="AG240" s="547"/>
      <c r="AH240" s="547"/>
      <c r="AI240" s="547"/>
      <c r="AJ240" s="547"/>
      <c r="AK240" s="547"/>
      <c r="AL240" s="547"/>
      <c r="AM240" s="547"/>
      <c r="AN240" s="547"/>
      <c r="AO240" s="547"/>
      <c r="AP240" s="547"/>
      <c r="AQ240" s="547" t="s">
        <v>164</v>
      </c>
      <c r="AR240" s="547"/>
      <c r="AS240" s="547" t="s">
        <v>165</v>
      </c>
      <c r="AT240" s="547"/>
    </row>
    <row r="241" spans="1:46" ht="15" hidden="1" customHeight="1">
      <c r="A241" s="545"/>
      <c r="B241" s="534"/>
      <c r="C241" s="533" t="s">
        <v>166</v>
      </c>
      <c r="D241" s="536" t="s">
        <v>167</v>
      </c>
      <c r="E241" s="536"/>
      <c r="F241" s="536"/>
      <c r="G241" s="536"/>
      <c r="H241" s="536"/>
      <c r="I241" s="533" t="s">
        <v>168</v>
      </c>
      <c r="J241" s="537" t="s">
        <v>167</v>
      </c>
      <c r="K241" s="537"/>
      <c r="L241" s="537"/>
      <c r="M241" s="537"/>
      <c r="N241" s="537"/>
      <c r="O241" s="537"/>
      <c r="P241" s="537"/>
      <c r="Q241" s="537"/>
      <c r="R241" s="537"/>
      <c r="S241" s="537"/>
      <c r="T241" s="537"/>
      <c r="U241" s="537"/>
      <c r="V241" s="552" t="s">
        <v>169</v>
      </c>
      <c r="W241" s="533" t="s">
        <v>170</v>
      </c>
      <c r="X241" s="555" t="s">
        <v>167</v>
      </c>
      <c r="Y241" s="555"/>
      <c r="Z241" s="555"/>
      <c r="AA241" s="555"/>
      <c r="AB241" s="555"/>
      <c r="AC241" s="533" t="s">
        <v>168</v>
      </c>
      <c r="AD241" s="537" t="s">
        <v>167</v>
      </c>
      <c r="AE241" s="537"/>
      <c r="AF241" s="537"/>
      <c r="AG241" s="537"/>
      <c r="AH241" s="537"/>
      <c r="AI241" s="537"/>
      <c r="AJ241" s="537"/>
      <c r="AK241" s="537"/>
      <c r="AL241" s="537"/>
      <c r="AM241" s="537"/>
      <c r="AN241" s="537"/>
      <c r="AO241" s="537"/>
      <c r="AP241" s="552" t="s">
        <v>171</v>
      </c>
      <c r="AQ241" s="548" t="s">
        <v>172</v>
      </c>
      <c r="AR241" s="548" t="s">
        <v>173</v>
      </c>
      <c r="AS241" s="548" t="s">
        <v>170</v>
      </c>
      <c r="AT241" s="548" t="s">
        <v>168</v>
      </c>
    </row>
    <row r="242" spans="1:46" ht="15" hidden="1" customHeight="1">
      <c r="A242" s="545"/>
      <c r="B242" s="534"/>
      <c r="C242" s="534"/>
      <c r="D242" s="552" t="s">
        <v>174</v>
      </c>
      <c r="E242" s="552" t="s">
        <v>175</v>
      </c>
      <c r="F242" s="552" t="s">
        <v>176</v>
      </c>
      <c r="G242" s="552" t="s">
        <v>177</v>
      </c>
      <c r="H242" s="552" t="s">
        <v>178</v>
      </c>
      <c r="I242" s="534"/>
      <c r="J242" s="537" t="s">
        <v>179</v>
      </c>
      <c r="K242" s="537"/>
      <c r="L242" s="537"/>
      <c r="M242" s="537"/>
      <c r="N242" s="537"/>
      <c r="O242" s="537"/>
      <c r="P242" s="537" t="s">
        <v>180</v>
      </c>
      <c r="Q242" s="537"/>
      <c r="R242" s="537"/>
      <c r="S242" s="537"/>
      <c r="T242" s="537"/>
      <c r="U242" s="537"/>
      <c r="V242" s="553"/>
      <c r="W242" s="534"/>
      <c r="X242" s="552" t="s">
        <v>174</v>
      </c>
      <c r="Y242" s="552" t="s">
        <v>175</v>
      </c>
      <c r="Z242" s="552" t="s">
        <v>176</v>
      </c>
      <c r="AA242" s="552" t="s">
        <v>177</v>
      </c>
      <c r="AB242" s="552" t="s">
        <v>178</v>
      </c>
      <c r="AC242" s="534"/>
      <c r="AD242" s="537" t="s">
        <v>179</v>
      </c>
      <c r="AE242" s="537"/>
      <c r="AF242" s="537"/>
      <c r="AG242" s="537"/>
      <c r="AH242" s="537"/>
      <c r="AI242" s="537"/>
      <c r="AJ242" s="537" t="s">
        <v>180</v>
      </c>
      <c r="AK242" s="537"/>
      <c r="AL242" s="537"/>
      <c r="AM242" s="537"/>
      <c r="AN242" s="537"/>
      <c r="AO242" s="537"/>
      <c r="AP242" s="553"/>
      <c r="AQ242" s="549"/>
      <c r="AR242" s="549"/>
      <c r="AS242" s="549"/>
      <c r="AT242" s="549"/>
    </row>
    <row r="243" spans="1:46" ht="15.5" hidden="1">
      <c r="A243" s="179"/>
      <c r="B243" s="534"/>
      <c r="C243" s="534"/>
      <c r="D243" s="553"/>
      <c r="E243" s="553"/>
      <c r="F243" s="553"/>
      <c r="G243" s="553"/>
      <c r="H243" s="553"/>
      <c r="I243" s="534"/>
      <c r="J243" s="556" t="s">
        <v>1</v>
      </c>
      <c r="K243" s="551" t="s">
        <v>181</v>
      </c>
      <c r="L243" s="551"/>
      <c r="M243" s="551" t="s">
        <v>182</v>
      </c>
      <c r="N243" s="551"/>
      <c r="O243" s="551" t="s">
        <v>183</v>
      </c>
      <c r="P243" s="556" t="s">
        <v>1</v>
      </c>
      <c r="Q243" s="551" t="s">
        <v>181</v>
      </c>
      <c r="R243" s="551"/>
      <c r="S243" s="551" t="s">
        <v>182</v>
      </c>
      <c r="T243" s="551"/>
      <c r="U243" s="551" t="s">
        <v>183</v>
      </c>
      <c r="V243" s="553"/>
      <c r="W243" s="534"/>
      <c r="X243" s="553"/>
      <c r="Y243" s="553"/>
      <c r="Z243" s="553"/>
      <c r="AA243" s="553"/>
      <c r="AB243" s="553"/>
      <c r="AC243" s="534"/>
      <c r="AD243" s="556" t="s">
        <v>1</v>
      </c>
      <c r="AE243" s="551" t="s">
        <v>181</v>
      </c>
      <c r="AF243" s="551"/>
      <c r="AG243" s="551" t="s">
        <v>182</v>
      </c>
      <c r="AH243" s="551"/>
      <c r="AI243" s="551" t="s">
        <v>183</v>
      </c>
      <c r="AJ243" s="556" t="s">
        <v>1</v>
      </c>
      <c r="AK243" s="551" t="s">
        <v>181</v>
      </c>
      <c r="AL243" s="551"/>
      <c r="AM243" s="551" t="s">
        <v>182</v>
      </c>
      <c r="AN243" s="551"/>
      <c r="AO243" s="551" t="s">
        <v>183</v>
      </c>
      <c r="AP243" s="553"/>
      <c r="AQ243" s="549"/>
      <c r="AR243" s="549"/>
      <c r="AS243" s="549"/>
      <c r="AT243" s="549"/>
    </row>
    <row r="244" spans="1:46" ht="90" hidden="1" customHeight="1">
      <c r="A244" s="179"/>
      <c r="B244" s="535"/>
      <c r="C244" s="535"/>
      <c r="D244" s="554"/>
      <c r="E244" s="554"/>
      <c r="F244" s="554"/>
      <c r="G244" s="554"/>
      <c r="H244" s="554"/>
      <c r="I244" s="535"/>
      <c r="J244" s="557"/>
      <c r="K244" s="186" t="s">
        <v>184</v>
      </c>
      <c r="L244" s="186" t="s">
        <v>185</v>
      </c>
      <c r="M244" s="186" t="s">
        <v>184</v>
      </c>
      <c r="N244" s="186" t="s">
        <v>185</v>
      </c>
      <c r="O244" s="551"/>
      <c r="P244" s="557"/>
      <c r="Q244" s="186" t="s">
        <v>184</v>
      </c>
      <c r="R244" s="186" t="s">
        <v>185</v>
      </c>
      <c r="S244" s="186" t="s">
        <v>184</v>
      </c>
      <c r="T244" s="186" t="s">
        <v>185</v>
      </c>
      <c r="U244" s="551"/>
      <c r="V244" s="554"/>
      <c r="W244" s="535"/>
      <c r="X244" s="554"/>
      <c r="Y244" s="554"/>
      <c r="Z244" s="554"/>
      <c r="AA244" s="554"/>
      <c r="AB244" s="554"/>
      <c r="AC244" s="535"/>
      <c r="AD244" s="557"/>
      <c r="AE244" s="186" t="s">
        <v>184</v>
      </c>
      <c r="AF244" s="186" t="s">
        <v>185</v>
      </c>
      <c r="AG244" s="186" t="s">
        <v>184</v>
      </c>
      <c r="AH244" s="186" t="s">
        <v>185</v>
      </c>
      <c r="AI244" s="551"/>
      <c r="AJ244" s="557"/>
      <c r="AK244" s="186" t="s">
        <v>184</v>
      </c>
      <c r="AL244" s="186" t="s">
        <v>185</v>
      </c>
      <c r="AM244" s="186" t="s">
        <v>184</v>
      </c>
      <c r="AN244" s="186" t="s">
        <v>185</v>
      </c>
      <c r="AO244" s="551"/>
      <c r="AP244" s="554"/>
      <c r="AQ244" s="550"/>
      <c r="AR244" s="550"/>
      <c r="AS244" s="550"/>
      <c r="AT244" s="550"/>
    </row>
    <row r="245" spans="1:46" hidden="1">
      <c r="A245" s="177" t="s">
        <v>25</v>
      </c>
      <c r="B245" s="178" t="s">
        <v>215</v>
      </c>
      <c r="C245" s="196"/>
      <c r="D245" s="196"/>
      <c r="E245" s="196"/>
      <c r="F245" s="196"/>
      <c r="G245" s="196"/>
      <c r="H245" s="196"/>
      <c r="I245" s="196"/>
      <c r="J245" s="196"/>
      <c r="K245" s="196"/>
      <c r="L245" s="196"/>
      <c r="M245" s="196"/>
      <c r="N245" s="196"/>
      <c r="O245" s="196"/>
      <c r="P245" s="196"/>
      <c r="Q245" s="196"/>
      <c r="R245" s="196"/>
      <c r="S245" s="196"/>
      <c r="T245" s="196"/>
      <c r="U245" s="196"/>
      <c r="V245" s="238"/>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245"/>
      <c r="AR245" s="196"/>
      <c r="AS245" s="196"/>
      <c r="AT245" s="196"/>
    </row>
    <row r="246" spans="1:46" hidden="1">
      <c r="A246" s="197">
        <v>1</v>
      </c>
      <c r="B246" s="279" t="s">
        <v>328</v>
      </c>
      <c r="C246" s="280">
        <f t="shared" ref="C246:C262" si="101">SUM(D246:H246)</f>
        <v>0.76800000000000002</v>
      </c>
      <c r="D246" s="280">
        <v>0</v>
      </c>
      <c r="E246" s="280">
        <v>0</v>
      </c>
      <c r="F246" s="280">
        <v>0.76800000000000002</v>
      </c>
      <c r="G246" s="280">
        <v>0</v>
      </c>
      <c r="H246" s="280">
        <v>0</v>
      </c>
      <c r="I246" s="249">
        <f t="shared" ref="I246:I262" si="102">J246+P246</f>
        <v>7.4999999999999997E-2</v>
      </c>
      <c r="J246" s="240">
        <f t="shared" ref="J246:J262" si="103">SUM(K246:O246)</f>
        <v>7.4999999999999997E-2</v>
      </c>
      <c r="K246" s="196">
        <v>7.4999999999999997E-2</v>
      </c>
      <c r="L246" s="196"/>
      <c r="M246" s="196"/>
      <c r="N246" s="196"/>
      <c r="O246" s="196"/>
      <c r="P246" s="240">
        <f t="shared" ref="P246:P262" si="104">SUM(Q246:U246)</f>
        <v>0</v>
      </c>
      <c r="Q246" s="196"/>
      <c r="R246" s="196"/>
      <c r="S246" s="196"/>
      <c r="T246" s="196"/>
      <c r="U246" s="196"/>
      <c r="V246" s="238">
        <f t="shared" ref="V246:V262" si="105">D246*194.67+E246*173.04+F246*111.72+G246*111.72+H246*127.68+K246*86.255+L246*71.648+M246*84.489+N246*58.258+O246*53.065+Q246*72.658+R246*60.9+S246*74.716+T246*50.578+U246*46.62</f>
        <v>92.270085000000009</v>
      </c>
      <c r="W246" s="227">
        <f t="shared" ref="W246:W262" si="106">SUM(X246:AB246)</f>
        <v>0.7609999999999999</v>
      </c>
      <c r="X246" s="237"/>
      <c r="Y246" s="237"/>
      <c r="Z246" s="237">
        <v>0.7609999999999999</v>
      </c>
      <c r="AA246" s="237"/>
      <c r="AB246" s="237"/>
      <c r="AC246" s="227">
        <f t="shared" ref="AC246:AC262" si="107">AD246+AJ246</f>
        <v>0.125</v>
      </c>
      <c r="AD246" s="239">
        <f t="shared" ref="AD246:AD262" si="108">SUM(AE246:AI246)</f>
        <v>0.125</v>
      </c>
      <c r="AE246" s="237">
        <v>0.125</v>
      </c>
      <c r="AF246" s="237"/>
      <c r="AG246" s="237"/>
      <c r="AH246" s="237"/>
      <c r="AI246" s="237"/>
      <c r="AJ246" s="239">
        <f t="shared" ref="AJ246:AJ262" si="109">SUM(AK246:AO246)</f>
        <v>0</v>
      </c>
      <c r="AK246" s="237"/>
      <c r="AL246" s="237"/>
      <c r="AM246" s="237"/>
      <c r="AN246" s="237"/>
      <c r="AO246" s="237"/>
      <c r="AP246" s="238">
        <v>95.7</v>
      </c>
      <c r="AQ246" s="334">
        <f t="shared" ref="AQ246:AQ262" si="110">W246/C246</f>
        <v>0.99088541666666652</v>
      </c>
      <c r="AR246" s="207">
        <f>AC246/I246</f>
        <v>1.6666666666666667</v>
      </c>
      <c r="AS246" s="196"/>
      <c r="AT246" s="196"/>
    </row>
    <row r="247" spans="1:46" hidden="1">
      <c r="A247" s="197">
        <v>2</v>
      </c>
      <c r="B247" s="279" t="s">
        <v>329</v>
      </c>
      <c r="C247" s="280">
        <f t="shared" si="101"/>
        <v>1.952</v>
      </c>
      <c r="D247" s="281">
        <v>0.25</v>
      </c>
      <c r="E247" s="281">
        <v>0.19500000000000001</v>
      </c>
      <c r="F247" s="281">
        <v>0.61899999999999999</v>
      </c>
      <c r="G247" s="281">
        <v>0.88800000000000001</v>
      </c>
      <c r="H247" s="281">
        <v>0</v>
      </c>
      <c r="I247" s="249">
        <f t="shared" si="102"/>
        <v>0.46200000000000002</v>
      </c>
      <c r="J247" s="240">
        <f t="shared" si="103"/>
        <v>0</v>
      </c>
      <c r="K247" s="196"/>
      <c r="L247" s="196"/>
      <c r="M247" s="196"/>
      <c r="N247" s="196"/>
      <c r="O247" s="196"/>
      <c r="P247" s="240">
        <f t="shared" si="104"/>
        <v>0.46200000000000002</v>
      </c>
      <c r="Q247" s="196"/>
      <c r="R247" s="196"/>
      <c r="S247" s="196">
        <v>0.191</v>
      </c>
      <c r="T247" s="196">
        <v>0.27100000000000002</v>
      </c>
      <c r="U247" s="196"/>
      <c r="V247" s="238">
        <f t="shared" si="105"/>
        <v>278.74973399999999</v>
      </c>
      <c r="W247" s="227">
        <f t="shared" si="106"/>
        <v>1.361</v>
      </c>
      <c r="X247" s="237"/>
      <c r="Y247" s="237">
        <v>0.19500000000000001</v>
      </c>
      <c r="Z247" s="237">
        <v>0.96599999999999997</v>
      </c>
      <c r="AA247" s="237">
        <v>0.2</v>
      </c>
      <c r="AB247" s="237"/>
      <c r="AC247" s="227">
        <f t="shared" si="107"/>
        <v>0.17299999999999999</v>
      </c>
      <c r="AD247" s="239">
        <f t="shared" si="108"/>
        <v>0</v>
      </c>
      <c r="AE247" s="237"/>
      <c r="AF247" s="237"/>
      <c r="AG247" s="237"/>
      <c r="AH247" s="237"/>
      <c r="AI247" s="237"/>
      <c r="AJ247" s="239">
        <f t="shared" si="109"/>
        <v>0.17299999999999999</v>
      </c>
      <c r="AK247" s="237"/>
      <c r="AL247" s="237"/>
      <c r="AM247" s="237"/>
      <c r="AN247" s="237">
        <v>0.17299999999999999</v>
      </c>
      <c r="AO247" s="237"/>
      <c r="AP247" s="238">
        <v>151.9</v>
      </c>
      <c r="AQ247" s="334">
        <f t="shared" si="110"/>
        <v>0.69723360655737709</v>
      </c>
      <c r="AR247" s="207">
        <f>AC247/I247</f>
        <v>0.37445887445887444</v>
      </c>
      <c r="AS247" s="196"/>
      <c r="AT247" s="196"/>
    </row>
    <row r="248" spans="1:46" hidden="1">
      <c r="A248" s="197">
        <v>3</v>
      </c>
      <c r="B248" s="279" t="s">
        <v>330</v>
      </c>
      <c r="C248" s="280">
        <f t="shared" si="101"/>
        <v>1.1000000000000001</v>
      </c>
      <c r="D248" s="280">
        <v>0</v>
      </c>
      <c r="E248" s="280">
        <v>0</v>
      </c>
      <c r="F248" s="280">
        <v>1.1000000000000001</v>
      </c>
      <c r="G248" s="280">
        <v>0</v>
      </c>
      <c r="H248" s="280">
        <v>0</v>
      </c>
      <c r="I248" s="249">
        <f t="shared" si="102"/>
        <v>0.11</v>
      </c>
      <c r="J248" s="240">
        <f t="shared" si="103"/>
        <v>0</v>
      </c>
      <c r="K248" s="196"/>
      <c r="L248" s="196"/>
      <c r="M248" s="196"/>
      <c r="N248" s="196"/>
      <c r="O248" s="196"/>
      <c r="P248" s="240">
        <f t="shared" si="104"/>
        <v>0.11</v>
      </c>
      <c r="Q248" s="196"/>
      <c r="R248" s="196"/>
      <c r="S248" s="196">
        <v>0.11</v>
      </c>
      <c r="T248" s="196"/>
      <c r="U248" s="196"/>
      <c r="V248" s="238">
        <f t="shared" si="105"/>
        <v>131.11076</v>
      </c>
      <c r="W248" s="227">
        <f t="shared" si="106"/>
        <v>1.1399999999999999</v>
      </c>
      <c r="X248" s="237"/>
      <c r="Y248" s="237"/>
      <c r="Z248" s="237">
        <v>1.1399999999999999</v>
      </c>
      <c r="AA248" s="237"/>
      <c r="AB248" s="237"/>
      <c r="AC248" s="227">
        <f t="shared" si="107"/>
        <v>0</v>
      </c>
      <c r="AD248" s="239">
        <f t="shared" si="108"/>
        <v>0</v>
      </c>
      <c r="AE248" s="237"/>
      <c r="AF248" s="237"/>
      <c r="AG248" s="237"/>
      <c r="AH248" s="237"/>
      <c r="AI248" s="237"/>
      <c r="AJ248" s="239">
        <f t="shared" si="109"/>
        <v>0</v>
      </c>
      <c r="AK248" s="237"/>
      <c r="AL248" s="237"/>
      <c r="AM248" s="237"/>
      <c r="AN248" s="237"/>
      <c r="AO248" s="237"/>
      <c r="AP248" s="238">
        <v>127.36</v>
      </c>
      <c r="AQ248" s="334">
        <f t="shared" si="110"/>
        <v>1.0363636363636362</v>
      </c>
      <c r="AR248" s="207">
        <f>AC248/I248</f>
        <v>0</v>
      </c>
      <c r="AS248" s="196"/>
      <c r="AT248" s="196"/>
    </row>
    <row r="249" spans="1:46" hidden="1">
      <c r="A249" s="197">
        <v>4</v>
      </c>
      <c r="B249" s="279" t="s">
        <v>331</v>
      </c>
      <c r="C249" s="280">
        <f t="shared" si="101"/>
        <v>1.502</v>
      </c>
      <c r="D249" s="280">
        <v>0</v>
      </c>
      <c r="E249" s="280">
        <v>0.45800000000000002</v>
      </c>
      <c r="F249" s="280">
        <v>0.379</v>
      </c>
      <c r="G249" s="280">
        <v>0</v>
      </c>
      <c r="H249" s="280">
        <v>0.66500000000000004</v>
      </c>
      <c r="I249" s="249">
        <f t="shared" si="102"/>
        <v>0</v>
      </c>
      <c r="J249" s="240">
        <f t="shared" si="103"/>
        <v>0</v>
      </c>
      <c r="K249" s="196"/>
      <c r="L249" s="196"/>
      <c r="M249" s="196"/>
      <c r="N249" s="196"/>
      <c r="O249" s="196"/>
      <c r="P249" s="240">
        <f t="shared" si="104"/>
        <v>0</v>
      </c>
      <c r="Q249" s="196"/>
      <c r="R249" s="196"/>
      <c r="S249" s="196"/>
      <c r="T249" s="196"/>
      <c r="U249" s="196"/>
      <c r="V249" s="238">
        <f t="shared" si="105"/>
        <v>206.50139999999999</v>
      </c>
      <c r="W249" s="227">
        <f t="shared" si="106"/>
        <v>1.339</v>
      </c>
      <c r="X249" s="237"/>
      <c r="Y249" s="237">
        <v>0.106</v>
      </c>
      <c r="Z249" s="237">
        <v>0.88300000000000001</v>
      </c>
      <c r="AA249" s="237"/>
      <c r="AB249" s="237">
        <v>0.35</v>
      </c>
      <c r="AC249" s="227">
        <f t="shared" si="107"/>
        <v>0</v>
      </c>
      <c r="AD249" s="239">
        <f t="shared" si="108"/>
        <v>0</v>
      </c>
      <c r="AE249" s="237"/>
      <c r="AF249" s="237"/>
      <c r="AG249" s="237"/>
      <c r="AH249" s="237"/>
      <c r="AI249" s="237"/>
      <c r="AJ249" s="239">
        <f t="shared" si="109"/>
        <v>0</v>
      </c>
      <c r="AK249" s="237"/>
      <c r="AL249" s="237"/>
      <c r="AM249" s="237"/>
      <c r="AN249" s="237"/>
      <c r="AO249" s="237"/>
      <c r="AP249" s="238">
        <v>161.65</v>
      </c>
      <c r="AQ249" s="334">
        <f t="shared" si="110"/>
        <v>0.89147802929427433</v>
      </c>
      <c r="AR249" s="207"/>
      <c r="AS249" s="196"/>
      <c r="AT249" s="196"/>
    </row>
    <row r="250" spans="1:46" hidden="1">
      <c r="A250" s="197">
        <v>5</v>
      </c>
      <c r="B250" s="279" t="s">
        <v>332</v>
      </c>
      <c r="C250" s="280">
        <f t="shared" si="101"/>
        <v>1.4602999999999997</v>
      </c>
      <c r="D250" s="281">
        <v>0</v>
      </c>
      <c r="E250" s="281">
        <v>0.83</v>
      </c>
      <c r="F250" s="281">
        <v>0.12</v>
      </c>
      <c r="G250" s="281">
        <v>0.15029999999999999</v>
      </c>
      <c r="H250" s="281">
        <v>0.36</v>
      </c>
      <c r="I250" s="249">
        <f t="shared" si="102"/>
        <v>0.13800000000000001</v>
      </c>
      <c r="J250" s="240">
        <f t="shared" si="103"/>
        <v>0</v>
      </c>
      <c r="K250" s="196"/>
      <c r="L250" s="196"/>
      <c r="M250" s="196"/>
      <c r="N250" s="196"/>
      <c r="O250" s="196"/>
      <c r="P250" s="240">
        <f t="shared" si="104"/>
        <v>0.13800000000000001</v>
      </c>
      <c r="Q250" s="196"/>
      <c r="R250" s="196"/>
      <c r="S250" s="196"/>
      <c r="T250" s="196">
        <v>0.13800000000000001</v>
      </c>
      <c r="U250" s="196"/>
      <c r="V250" s="238">
        <f t="shared" si="105"/>
        <v>226.76567999999997</v>
      </c>
      <c r="W250" s="227">
        <f t="shared" si="106"/>
        <v>2.1389999999999998</v>
      </c>
      <c r="X250" s="237"/>
      <c r="Y250" s="237">
        <v>0.70899999999999996</v>
      </c>
      <c r="Z250" s="237">
        <v>1.18</v>
      </c>
      <c r="AA250" s="237"/>
      <c r="AB250" s="237">
        <v>0.25</v>
      </c>
      <c r="AC250" s="227">
        <f t="shared" si="107"/>
        <v>0.4</v>
      </c>
      <c r="AD250" s="239">
        <f t="shared" si="108"/>
        <v>0.4</v>
      </c>
      <c r="AE250" s="237"/>
      <c r="AF250" s="237"/>
      <c r="AG250" s="237"/>
      <c r="AH250" s="237">
        <v>0.4</v>
      </c>
      <c r="AI250" s="237"/>
      <c r="AJ250" s="239">
        <f t="shared" si="109"/>
        <v>0</v>
      </c>
      <c r="AK250" s="237"/>
      <c r="AL250" s="237"/>
      <c r="AM250" s="237"/>
      <c r="AN250" s="237"/>
      <c r="AO250" s="237"/>
      <c r="AP250" s="238">
        <v>309.73496</v>
      </c>
      <c r="AQ250" s="334">
        <f t="shared" si="110"/>
        <v>1.4647675135246183</v>
      </c>
      <c r="AR250" s="207">
        <f>AC250/I250</f>
        <v>2.8985507246376812</v>
      </c>
      <c r="AS250" s="196"/>
      <c r="AT250" s="196"/>
    </row>
    <row r="251" spans="1:46" hidden="1">
      <c r="A251" s="197">
        <v>6</v>
      </c>
      <c r="B251" s="279" t="s">
        <v>333</v>
      </c>
      <c r="C251" s="280">
        <f t="shared" si="101"/>
        <v>4.4980000000000002</v>
      </c>
      <c r="D251" s="280">
        <v>0</v>
      </c>
      <c r="E251" s="282">
        <v>0.97</v>
      </c>
      <c r="F251" s="280">
        <v>3.528</v>
      </c>
      <c r="G251" s="280">
        <v>0</v>
      </c>
      <c r="H251" s="280">
        <v>0</v>
      </c>
      <c r="I251" s="249">
        <f t="shared" si="102"/>
        <v>2.5649999999999999</v>
      </c>
      <c r="J251" s="240">
        <f t="shared" si="103"/>
        <v>1.9350000000000001</v>
      </c>
      <c r="K251" s="196"/>
      <c r="L251" s="196"/>
      <c r="M251" s="196"/>
      <c r="N251" s="196">
        <v>1.9350000000000001</v>
      </c>
      <c r="O251" s="196"/>
      <c r="P251" s="240">
        <f t="shared" si="104"/>
        <v>0.63</v>
      </c>
      <c r="Q251" s="196"/>
      <c r="R251" s="196"/>
      <c r="S251" s="196"/>
      <c r="T251" s="196">
        <v>0.63</v>
      </c>
      <c r="U251" s="196"/>
      <c r="V251" s="238">
        <f t="shared" si="105"/>
        <v>706.59032999999999</v>
      </c>
      <c r="W251" s="227">
        <f t="shared" si="106"/>
        <v>3.9850000000000003</v>
      </c>
      <c r="X251" s="237"/>
      <c r="Y251" s="237">
        <v>0.52</v>
      </c>
      <c r="Z251" s="237">
        <v>3.2850000000000001</v>
      </c>
      <c r="AA251" s="237">
        <v>0.18</v>
      </c>
      <c r="AB251" s="237"/>
      <c r="AC251" s="227">
        <f t="shared" si="107"/>
        <v>2.0529999999999999</v>
      </c>
      <c r="AD251" s="239">
        <f t="shared" si="108"/>
        <v>1.5169999999999999</v>
      </c>
      <c r="AE251" s="237"/>
      <c r="AF251" s="237"/>
      <c r="AG251" s="237"/>
      <c r="AH251" s="237">
        <v>1.5169999999999999</v>
      </c>
      <c r="AI251" s="237"/>
      <c r="AJ251" s="239">
        <f t="shared" si="109"/>
        <v>0.53600000000000003</v>
      </c>
      <c r="AK251" s="237"/>
      <c r="AL251" s="237"/>
      <c r="AM251" s="237">
        <v>0.40500000000000003</v>
      </c>
      <c r="AN251" s="237">
        <v>0.13100000000000001</v>
      </c>
      <c r="AO251" s="237"/>
      <c r="AP251" s="238">
        <v>586.64080000000001</v>
      </c>
      <c r="AQ251" s="334">
        <f t="shared" si="110"/>
        <v>0.88594931080480221</v>
      </c>
      <c r="AR251" s="207">
        <f>AC251/I251</f>
        <v>0.80038986354775832</v>
      </c>
      <c r="AS251" s="196"/>
      <c r="AT251" s="196"/>
    </row>
    <row r="252" spans="1:46" hidden="1">
      <c r="A252" s="197">
        <v>7</v>
      </c>
      <c r="B252" s="279" t="s">
        <v>334</v>
      </c>
      <c r="C252" s="280">
        <f t="shared" si="101"/>
        <v>1.7000000000000002</v>
      </c>
      <c r="D252" s="280">
        <v>0</v>
      </c>
      <c r="E252" s="280">
        <v>0.46</v>
      </c>
      <c r="F252" s="280">
        <v>0.56999999999999995</v>
      </c>
      <c r="G252" s="280">
        <v>0.67</v>
      </c>
      <c r="H252" s="280">
        <v>0</v>
      </c>
      <c r="I252" s="249">
        <f t="shared" si="102"/>
        <v>0.5</v>
      </c>
      <c r="J252" s="240">
        <f t="shared" si="103"/>
        <v>0</v>
      </c>
      <c r="K252" s="196"/>
      <c r="L252" s="196"/>
      <c r="M252" s="196"/>
      <c r="N252" s="196"/>
      <c r="O252" s="196"/>
      <c r="P252" s="240">
        <f t="shared" si="104"/>
        <v>0.5</v>
      </c>
      <c r="Q252" s="196"/>
      <c r="R252" s="196">
        <v>0.3</v>
      </c>
      <c r="S252" s="196"/>
      <c r="T252" s="196">
        <v>0.2</v>
      </c>
      <c r="U252" s="196"/>
      <c r="V252" s="238">
        <f t="shared" si="105"/>
        <v>246.51679999999999</v>
      </c>
      <c r="W252" s="227">
        <f t="shared" si="106"/>
        <v>1.7629999999999999</v>
      </c>
      <c r="X252" s="237"/>
      <c r="Y252" s="237">
        <v>1.0229999999999999</v>
      </c>
      <c r="Z252" s="237">
        <v>0.52400000000000002</v>
      </c>
      <c r="AA252" s="237">
        <v>0.216</v>
      </c>
      <c r="AB252" s="237"/>
      <c r="AC252" s="227">
        <f t="shared" si="107"/>
        <v>0</v>
      </c>
      <c r="AD252" s="239">
        <f t="shared" si="108"/>
        <v>0</v>
      </c>
      <c r="AE252" s="237"/>
      <c r="AF252" s="237"/>
      <c r="AG252" s="237"/>
      <c r="AH252" s="237"/>
      <c r="AI252" s="237"/>
      <c r="AJ252" s="239">
        <f t="shared" si="109"/>
        <v>0</v>
      </c>
      <c r="AK252" s="237"/>
      <c r="AL252" s="237"/>
      <c r="AM252" s="237"/>
      <c r="AN252" s="237"/>
      <c r="AO252" s="237"/>
      <c r="AP252" s="238">
        <v>259.69272000000001</v>
      </c>
      <c r="AQ252" s="334">
        <f t="shared" si="110"/>
        <v>1.0370588235294116</v>
      </c>
      <c r="AR252" s="207">
        <f>AC252/I252</f>
        <v>0</v>
      </c>
      <c r="AS252" s="196"/>
      <c r="AT252" s="196"/>
    </row>
    <row r="253" spans="1:46" hidden="1">
      <c r="A253" s="197">
        <v>8</v>
      </c>
      <c r="B253" s="279" t="s">
        <v>335</v>
      </c>
      <c r="C253" s="280">
        <f t="shared" si="101"/>
        <v>0.35499999999999998</v>
      </c>
      <c r="D253" s="280">
        <v>0</v>
      </c>
      <c r="E253" s="280">
        <v>0.25</v>
      </c>
      <c r="F253" s="280">
        <v>0.105</v>
      </c>
      <c r="G253" s="280">
        <v>0</v>
      </c>
      <c r="H253" s="280">
        <v>0</v>
      </c>
      <c r="I253" s="249">
        <f t="shared" si="102"/>
        <v>0</v>
      </c>
      <c r="J253" s="240">
        <f t="shared" si="103"/>
        <v>0</v>
      </c>
      <c r="K253" s="196"/>
      <c r="L253" s="196"/>
      <c r="M253" s="196"/>
      <c r="N253" s="196"/>
      <c r="O253" s="196"/>
      <c r="P253" s="240">
        <f t="shared" si="104"/>
        <v>0</v>
      </c>
      <c r="Q253" s="196"/>
      <c r="R253" s="196"/>
      <c r="S253" s="196"/>
      <c r="T253" s="196"/>
      <c r="U253" s="196"/>
      <c r="V253" s="238">
        <f t="shared" si="105"/>
        <v>54.990600000000001</v>
      </c>
      <c r="W253" s="227">
        <f t="shared" si="106"/>
        <v>2.06</v>
      </c>
      <c r="X253" s="237"/>
      <c r="Y253" s="237">
        <v>0.45</v>
      </c>
      <c r="Z253" s="237">
        <v>1.6099999999999999</v>
      </c>
      <c r="AA253" s="237"/>
      <c r="AB253" s="237"/>
      <c r="AC253" s="227">
        <f t="shared" si="107"/>
        <v>0</v>
      </c>
      <c r="AD253" s="239">
        <f t="shared" si="108"/>
        <v>0</v>
      </c>
      <c r="AE253" s="237"/>
      <c r="AF253" s="237"/>
      <c r="AG253" s="237"/>
      <c r="AH253" s="237"/>
      <c r="AI253" s="237"/>
      <c r="AJ253" s="239">
        <f t="shared" si="109"/>
        <v>0</v>
      </c>
      <c r="AK253" s="237"/>
      <c r="AL253" s="237"/>
      <c r="AM253" s="237"/>
      <c r="AN253" s="237"/>
      <c r="AO253" s="237"/>
      <c r="AP253" s="238">
        <v>257.73</v>
      </c>
      <c r="AQ253" s="334">
        <f t="shared" si="110"/>
        <v>5.802816901408451</v>
      </c>
      <c r="AR253" s="207"/>
      <c r="AS253" s="196"/>
      <c r="AT253" s="196"/>
    </row>
    <row r="254" spans="1:46" hidden="1">
      <c r="A254" s="197">
        <v>9</v>
      </c>
      <c r="B254" s="279" t="s">
        <v>336</v>
      </c>
      <c r="C254" s="280">
        <f t="shared" si="101"/>
        <v>3.7229999999999999</v>
      </c>
      <c r="D254" s="280">
        <v>0</v>
      </c>
      <c r="E254" s="280">
        <v>1.5249999999999999</v>
      </c>
      <c r="F254" s="280">
        <v>1.3979999999999999</v>
      </c>
      <c r="G254" s="280">
        <v>0.8</v>
      </c>
      <c r="H254" s="280">
        <v>0</v>
      </c>
      <c r="I254" s="249">
        <f t="shared" si="102"/>
        <v>1.0629999999999999</v>
      </c>
      <c r="J254" s="240">
        <f t="shared" si="103"/>
        <v>0</v>
      </c>
      <c r="K254" s="196"/>
      <c r="L254" s="196"/>
      <c r="M254" s="196"/>
      <c r="N254" s="196"/>
      <c r="O254" s="196"/>
      <c r="P254" s="240">
        <f t="shared" si="104"/>
        <v>1.0629999999999999</v>
      </c>
      <c r="Q254" s="196"/>
      <c r="R254" s="196"/>
      <c r="S254" s="196"/>
      <c r="T254" s="196">
        <v>1.0629999999999999</v>
      </c>
      <c r="U254" s="196"/>
      <c r="V254" s="238">
        <f t="shared" si="105"/>
        <v>563.21097399999996</v>
      </c>
      <c r="W254" s="227">
        <f t="shared" si="106"/>
        <v>3.5270000000000001</v>
      </c>
      <c r="X254" s="237">
        <v>0.4</v>
      </c>
      <c r="Y254" s="237">
        <v>0.44500000000000001</v>
      </c>
      <c r="Z254" s="237">
        <v>2.6819999999999999</v>
      </c>
      <c r="AA254" s="237"/>
      <c r="AB254" s="237"/>
      <c r="AC254" s="227">
        <f t="shared" si="107"/>
        <v>0</v>
      </c>
      <c r="AD254" s="239">
        <f t="shared" si="108"/>
        <v>0</v>
      </c>
      <c r="AE254" s="237"/>
      <c r="AF254" s="237"/>
      <c r="AG254" s="237"/>
      <c r="AH254" s="237"/>
      <c r="AI254" s="237"/>
      <c r="AJ254" s="239">
        <f t="shared" si="109"/>
        <v>0</v>
      </c>
      <c r="AK254" s="237"/>
      <c r="AL254" s="237"/>
      <c r="AM254" s="237"/>
      <c r="AN254" s="237"/>
      <c r="AO254" s="237"/>
      <c r="AP254" s="238">
        <v>454.5</v>
      </c>
      <c r="AQ254" s="334">
        <f t="shared" si="110"/>
        <v>0.94735428417942524</v>
      </c>
      <c r="AR254" s="207">
        <f>AC254/I254</f>
        <v>0</v>
      </c>
      <c r="AS254" s="196"/>
      <c r="AT254" s="196"/>
    </row>
    <row r="255" spans="1:46" hidden="1">
      <c r="A255" s="197">
        <v>10</v>
      </c>
      <c r="B255" s="279" t="s">
        <v>337</v>
      </c>
      <c r="C255" s="280">
        <f t="shared" si="101"/>
        <v>2.4420000000000002</v>
      </c>
      <c r="D255" s="280">
        <v>0</v>
      </c>
      <c r="E255" s="280">
        <v>0.19400000000000001</v>
      </c>
      <c r="F255" s="280">
        <v>1.7230000000000001</v>
      </c>
      <c r="G255" s="280">
        <v>0.52500000000000002</v>
      </c>
      <c r="H255" s="280">
        <v>0</v>
      </c>
      <c r="I255" s="249">
        <f t="shared" si="102"/>
        <v>4</v>
      </c>
      <c r="J255" s="240">
        <f t="shared" si="103"/>
        <v>0</v>
      </c>
      <c r="K255" s="196"/>
      <c r="L255" s="196"/>
      <c r="M255" s="196"/>
      <c r="N255" s="196"/>
      <c r="O255" s="196"/>
      <c r="P255" s="240">
        <f t="shared" si="104"/>
        <v>4</v>
      </c>
      <c r="Q255" s="196"/>
      <c r="R255" s="196"/>
      <c r="S255" s="196"/>
      <c r="T255" s="196">
        <v>4</v>
      </c>
      <c r="U255" s="196"/>
      <c r="V255" s="238">
        <f t="shared" si="105"/>
        <v>487.02832000000001</v>
      </c>
      <c r="W255" s="227">
        <f t="shared" si="106"/>
        <v>3.8010000000000002</v>
      </c>
      <c r="X255" s="237"/>
      <c r="Y255" s="237">
        <v>0.58399999999999996</v>
      </c>
      <c r="Z255" s="237">
        <v>2.6920000000000002</v>
      </c>
      <c r="AA255" s="237">
        <v>0.52500000000000002</v>
      </c>
      <c r="AB255" s="237"/>
      <c r="AC255" s="227">
        <f t="shared" si="107"/>
        <v>0</v>
      </c>
      <c r="AD255" s="239">
        <f t="shared" si="108"/>
        <v>0</v>
      </c>
      <c r="AE255" s="237"/>
      <c r="AF255" s="237"/>
      <c r="AG255" s="237"/>
      <c r="AH255" s="237"/>
      <c r="AI255" s="237"/>
      <c r="AJ255" s="239">
        <f t="shared" si="109"/>
        <v>0</v>
      </c>
      <c r="AK255" s="237"/>
      <c r="AL255" s="237"/>
      <c r="AM255" s="237"/>
      <c r="AN255" s="237"/>
      <c r="AO255" s="237"/>
      <c r="AP255" s="238">
        <v>459.3</v>
      </c>
      <c r="AQ255" s="334">
        <f t="shared" si="110"/>
        <v>1.5565110565110565</v>
      </c>
      <c r="AR255" s="207">
        <f>AC255/I255</f>
        <v>0</v>
      </c>
      <c r="AS255" s="196"/>
      <c r="AT255" s="196"/>
    </row>
    <row r="256" spans="1:46" hidden="1">
      <c r="A256" s="197">
        <v>11</v>
      </c>
      <c r="B256" s="279" t="s">
        <v>338</v>
      </c>
      <c r="C256" s="280">
        <f t="shared" si="101"/>
        <v>0.73570000000000002</v>
      </c>
      <c r="D256" s="280">
        <v>0</v>
      </c>
      <c r="E256" s="280">
        <v>0.1457</v>
      </c>
      <c r="F256" s="280">
        <v>0.44</v>
      </c>
      <c r="G256" s="280">
        <v>0</v>
      </c>
      <c r="H256" s="280">
        <v>0.15</v>
      </c>
      <c r="I256" s="249">
        <f t="shared" si="102"/>
        <v>0</v>
      </c>
      <c r="J256" s="240">
        <f t="shared" si="103"/>
        <v>0</v>
      </c>
      <c r="K256" s="196"/>
      <c r="L256" s="196"/>
      <c r="M256" s="196"/>
      <c r="N256" s="196"/>
      <c r="O256" s="196"/>
      <c r="P256" s="240">
        <f t="shared" si="104"/>
        <v>0</v>
      </c>
      <c r="Q256" s="196"/>
      <c r="R256" s="196"/>
      <c r="S256" s="196"/>
      <c r="T256" s="196"/>
      <c r="U256" s="196"/>
      <c r="V256" s="238">
        <f t="shared" si="105"/>
        <v>93.520727999999991</v>
      </c>
      <c r="W256" s="227">
        <f t="shared" si="106"/>
        <v>2.8790000000000004</v>
      </c>
      <c r="X256" s="237"/>
      <c r="Y256" s="237"/>
      <c r="Z256" s="237">
        <v>1.151</v>
      </c>
      <c r="AA256" s="237">
        <v>1.23</v>
      </c>
      <c r="AB256" s="237">
        <v>0.498</v>
      </c>
      <c r="AC256" s="227">
        <f t="shared" si="107"/>
        <v>0</v>
      </c>
      <c r="AD256" s="239">
        <f t="shared" si="108"/>
        <v>0</v>
      </c>
      <c r="AE256" s="237"/>
      <c r="AF256" s="237"/>
      <c r="AG256" s="237"/>
      <c r="AH256" s="237"/>
      <c r="AI256" s="237"/>
      <c r="AJ256" s="239">
        <f t="shared" si="109"/>
        <v>0</v>
      </c>
      <c r="AK256" s="237"/>
      <c r="AL256" s="237"/>
      <c r="AM256" s="237"/>
      <c r="AN256" s="237"/>
      <c r="AO256" s="237"/>
      <c r="AP256" s="238">
        <v>335.1</v>
      </c>
      <c r="AQ256" s="334">
        <f t="shared" si="110"/>
        <v>3.9132798695120297</v>
      </c>
      <c r="AR256" s="207"/>
      <c r="AS256" s="196"/>
      <c r="AT256" s="196"/>
    </row>
    <row r="257" spans="1:46" hidden="1">
      <c r="A257" s="197">
        <v>12</v>
      </c>
      <c r="B257" s="279" t="s">
        <v>339</v>
      </c>
      <c r="C257" s="280">
        <f t="shared" si="101"/>
        <v>2.5150000000000001</v>
      </c>
      <c r="D257" s="280">
        <v>0</v>
      </c>
      <c r="E257" s="280">
        <v>0</v>
      </c>
      <c r="F257" s="280">
        <v>1.79</v>
      </c>
      <c r="G257" s="280">
        <v>0.72499999999999998</v>
      </c>
      <c r="H257" s="280">
        <v>0</v>
      </c>
      <c r="I257" s="249">
        <f t="shared" si="102"/>
        <v>1.915</v>
      </c>
      <c r="J257" s="240">
        <f t="shared" si="103"/>
        <v>1.125</v>
      </c>
      <c r="K257" s="196"/>
      <c r="L257" s="196"/>
      <c r="M257" s="196"/>
      <c r="N257" s="196">
        <v>1.125</v>
      </c>
      <c r="O257" s="196"/>
      <c r="P257" s="240">
        <f t="shared" si="104"/>
        <v>0.79</v>
      </c>
      <c r="Q257" s="196"/>
      <c r="R257" s="196"/>
      <c r="S257" s="196"/>
      <c r="T257" s="196">
        <v>0.79</v>
      </c>
      <c r="U257" s="196"/>
      <c r="V257" s="238">
        <f t="shared" si="105"/>
        <v>386.47266999999999</v>
      </c>
      <c r="W257" s="227">
        <f t="shared" si="106"/>
        <v>0.80500000000000005</v>
      </c>
      <c r="X257" s="237"/>
      <c r="Y257" s="237"/>
      <c r="Z257" s="237">
        <v>0.80500000000000005</v>
      </c>
      <c r="AA257" s="237"/>
      <c r="AB257" s="237"/>
      <c r="AC257" s="227">
        <f t="shared" si="107"/>
        <v>0.17</v>
      </c>
      <c r="AD257" s="239">
        <f t="shared" si="108"/>
        <v>0</v>
      </c>
      <c r="AE257" s="237"/>
      <c r="AF257" s="237"/>
      <c r="AG257" s="237"/>
      <c r="AH257" s="237"/>
      <c r="AI257" s="237"/>
      <c r="AJ257" s="239">
        <f t="shared" si="109"/>
        <v>0.17</v>
      </c>
      <c r="AK257" s="237">
        <v>0.17</v>
      </c>
      <c r="AL257" s="237"/>
      <c r="AM257" s="237"/>
      <c r="AN257" s="237"/>
      <c r="AO257" s="237"/>
      <c r="AP257" s="238">
        <v>102.63632</v>
      </c>
      <c r="AQ257" s="334">
        <f t="shared" si="110"/>
        <v>0.32007952286282304</v>
      </c>
      <c r="AR257" s="207">
        <f>AC257/I257</f>
        <v>8.877284595300261E-2</v>
      </c>
      <c r="AS257" s="196"/>
      <c r="AT257" s="196"/>
    </row>
    <row r="258" spans="1:46" hidden="1">
      <c r="A258" s="197">
        <v>13</v>
      </c>
      <c r="B258" s="279" t="s">
        <v>340</v>
      </c>
      <c r="C258" s="280">
        <f t="shared" si="101"/>
        <v>1.2149999999999999</v>
      </c>
      <c r="D258" s="280">
        <v>0</v>
      </c>
      <c r="E258" s="280">
        <v>0</v>
      </c>
      <c r="F258" s="280">
        <v>0.27</v>
      </c>
      <c r="G258" s="280">
        <v>0.94499999999999995</v>
      </c>
      <c r="H258" s="280">
        <v>0</v>
      </c>
      <c r="I258" s="249">
        <f t="shared" si="102"/>
        <v>1</v>
      </c>
      <c r="J258" s="240">
        <f t="shared" si="103"/>
        <v>0.5</v>
      </c>
      <c r="K258" s="196">
        <v>0.5</v>
      </c>
      <c r="L258" s="196"/>
      <c r="M258" s="196"/>
      <c r="N258" s="196"/>
      <c r="O258" s="196"/>
      <c r="P258" s="240">
        <f t="shared" si="104"/>
        <v>0.5</v>
      </c>
      <c r="Q258" s="196">
        <v>0.5</v>
      </c>
      <c r="R258" s="196"/>
      <c r="S258" s="196"/>
      <c r="T258" s="196"/>
      <c r="U258" s="196"/>
      <c r="V258" s="238">
        <f t="shared" si="105"/>
        <v>215.19630000000001</v>
      </c>
      <c r="W258" s="227">
        <f t="shared" si="106"/>
        <v>0.59000000000000008</v>
      </c>
      <c r="X258" s="237"/>
      <c r="Y258" s="237">
        <v>0.32</v>
      </c>
      <c r="Z258" s="237">
        <v>0.27</v>
      </c>
      <c r="AA258" s="237"/>
      <c r="AB258" s="237"/>
      <c r="AC258" s="227">
        <f t="shared" si="107"/>
        <v>1</v>
      </c>
      <c r="AD258" s="239">
        <f t="shared" si="108"/>
        <v>0.34</v>
      </c>
      <c r="AE258" s="237">
        <v>0.34</v>
      </c>
      <c r="AF258" s="237"/>
      <c r="AG258" s="237"/>
      <c r="AH258" s="237"/>
      <c r="AI258" s="237"/>
      <c r="AJ258" s="239">
        <f t="shared" si="109"/>
        <v>0.66</v>
      </c>
      <c r="AK258" s="237">
        <v>0.66</v>
      </c>
      <c r="AL258" s="237"/>
      <c r="AM258" s="237"/>
      <c r="AN258" s="237"/>
      <c r="AO258" s="237"/>
      <c r="AP258" s="238">
        <v>109.98439999999999</v>
      </c>
      <c r="AQ258" s="334">
        <f t="shared" si="110"/>
        <v>0.48559670781893016</v>
      </c>
      <c r="AR258" s="207">
        <f>AC258/I258</f>
        <v>1</v>
      </c>
      <c r="AS258" s="196"/>
      <c r="AT258" s="196"/>
    </row>
    <row r="259" spans="1:46" hidden="1">
      <c r="A259" s="197">
        <v>14</v>
      </c>
      <c r="B259" s="279" t="s">
        <v>341</v>
      </c>
      <c r="C259" s="280">
        <f t="shared" si="101"/>
        <v>0.11600000000000001</v>
      </c>
      <c r="D259" s="280">
        <v>0</v>
      </c>
      <c r="E259" s="282">
        <v>0</v>
      </c>
      <c r="F259" s="280">
        <v>0.11600000000000001</v>
      </c>
      <c r="G259" s="280">
        <v>0</v>
      </c>
      <c r="H259" s="280">
        <v>0</v>
      </c>
      <c r="I259" s="249">
        <f t="shared" si="102"/>
        <v>3.7680000000000002</v>
      </c>
      <c r="J259" s="240">
        <f t="shared" si="103"/>
        <v>0.53600000000000003</v>
      </c>
      <c r="K259" s="196"/>
      <c r="L259" s="196"/>
      <c r="M259" s="196">
        <v>0.53600000000000003</v>
      </c>
      <c r="N259" s="196"/>
      <c r="O259" s="196"/>
      <c r="P259" s="240">
        <f t="shared" si="104"/>
        <v>3.2320000000000002</v>
      </c>
      <c r="Q259" s="196"/>
      <c r="R259" s="196"/>
      <c r="S259" s="196">
        <v>3.2320000000000002</v>
      </c>
      <c r="T259" s="196"/>
      <c r="U259" s="196"/>
      <c r="V259" s="238">
        <f t="shared" si="105"/>
        <v>299.72773599999999</v>
      </c>
      <c r="W259" s="227">
        <f t="shared" si="106"/>
        <v>9.0999999999999998E-2</v>
      </c>
      <c r="X259" s="237"/>
      <c r="Y259" s="237"/>
      <c r="Z259" s="237">
        <v>9.0999999999999998E-2</v>
      </c>
      <c r="AA259" s="237"/>
      <c r="AB259" s="237"/>
      <c r="AC259" s="227">
        <f t="shared" si="107"/>
        <v>0.86899999999999999</v>
      </c>
      <c r="AD259" s="239">
        <f t="shared" si="108"/>
        <v>0.72199999999999998</v>
      </c>
      <c r="AE259" s="237">
        <v>0.72199999999999998</v>
      </c>
      <c r="AF259" s="237"/>
      <c r="AG259" s="237"/>
      <c r="AH259" s="237"/>
      <c r="AI259" s="237"/>
      <c r="AJ259" s="239">
        <f t="shared" si="109"/>
        <v>0.14699999999999999</v>
      </c>
      <c r="AK259" s="237">
        <v>0.14699999999999999</v>
      </c>
      <c r="AL259" s="237"/>
      <c r="AM259" s="237"/>
      <c r="AN259" s="237"/>
      <c r="AO259" s="237"/>
      <c r="AP259" s="238">
        <v>83.12700000000001</v>
      </c>
      <c r="AQ259" s="334">
        <f t="shared" si="110"/>
        <v>0.78448275862068961</v>
      </c>
      <c r="AR259" s="207">
        <f>AC259/I259</f>
        <v>0.23062632696390656</v>
      </c>
      <c r="AS259" s="196"/>
      <c r="AT259" s="196"/>
    </row>
    <row r="260" spans="1:46" hidden="1">
      <c r="A260" s="197">
        <v>15</v>
      </c>
      <c r="B260" s="279" t="s">
        <v>342</v>
      </c>
      <c r="C260" s="280">
        <f t="shared" si="101"/>
        <v>3.3479999999999999</v>
      </c>
      <c r="D260" s="280">
        <v>0</v>
      </c>
      <c r="E260" s="280">
        <v>0.54600000000000004</v>
      </c>
      <c r="F260" s="280">
        <v>1.3220000000000001</v>
      </c>
      <c r="G260" s="280">
        <v>1.48</v>
      </c>
      <c r="H260" s="280">
        <v>0</v>
      </c>
      <c r="I260" s="249">
        <f t="shared" si="102"/>
        <v>0.5</v>
      </c>
      <c r="J260" s="240">
        <f t="shared" si="103"/>
        <v>0</v>
      </c>
      <c r="K260" s="196"/>
      <c r="L260" s="196"/>
      <c r="M260" s="196"/>
      <c r="N260" s="196"/>
      <c r="O260" s="196"/>
      <c r="P260" s="240">
        <f t="shared" si="104"/>
        <v>0.5</v>
      </c>
      <c r="Q260" s="196"/>
      <c r="R260" s="196"/>
      <c r="S260" s="196"/>
      <c r="T260" s="196">
        <v>0.5</v>
      </c>
      <c r="U260" s="196"/>
      <c r="V260" s="238">
        <f t="shared" si="105"/>
        <v>432.80827999999997</v>
      </c>
      <c r="W260" s="227">
        <f t="shared" si="106"/>
        <v>3.3290000000000002</v>
      </c>
      <c r="X260" s="237"/>
      <c r="Y260" s="237">
        <v>0.65600000000000003</v>
      </c>
      <c r="Z260" s="237">
        <v>1.1930000000000001</v>
      </c>
      <c r="AA260" s="237">
        <v>1.48</v>
      </c>
      <c r="AB260" s="237"/>
      <c r="AC260" s="227">
        <f t="shared" si="107"/>
        <v>0.5</v>
      </c>
      <c r="AD260" s="239">
        <f t="shared" si="108"/>
        <v>0</v>
      </c>
      <c r="AE260" s="237"/>
      <c r="AF260" s="237"/>
      <c r="AG260" s="237"/>
      <c r="AH260" s="237"/>
      <c r="AI260" s="237"/>
      <c r="AJ260" s="239">
        <f t="shared" si="109"/>
        <v>0.5</v>
      </c>
      <c r="AK260" s="237"/>
      <c r="AL260" s="237"/>
      <c r="AM260" s="237"/>
      <c r="AN260" s="237">
        <v>0.5</v>
      </c>
      <c r="AO260" s="237"/>
      <c r="AP260" s="238">
        <v>278.64999999999998</v>
      </c>
      <c r="AQ260" s="334">
        <f t="shared" si="110"/>
        <v>0.99432497013142185</v>
      </c>
      <c r="AR260" s="207">
        <f>AC260/I260</f>
        <v>1</v>
      </c>
      <c r="AS260" s="196"/>
      <c r="AT260" s="196"/>
    </row>
    <row r="261" spans="1:46" hidden="1">
      <c r="A261" s="197">
        <v>17</v>
      </c>
      <c r="B261" s="279" t="s">
        <v>343</v>
      </c>
      <c r="C261" s="280">
        <f t="shared" si="101"/>
        <v>5.6959999999999997</v>
      </c>
      <c r="D261" s="280">
        <v>0</v>
      </c>
      <c r="E261" s="280">
        <v>0</v>
      </c>
      <c r="F261" s="280">
        <v>1.8109999999999999</v>
      </c>
      <c r="G261" s="280">
        <v>1.33</v>
      </c>
      <c r="H261" s="280">
        <v>2.5550000000000002</v>
      </c>
      <c r="I261" s="249">
        <f t="shared" si="102"/>
        <v>0</v>
      </c>
      <c r="J261" s="240">
        <f t="shared" si="103"/>
        <v>0</v>
      </c>
      <c r="K261" s="196"/>
      <c r="L261" s="196"/>
      <c r="M261" s="196"/>
      <c r="N261" s="196"/>
      <c r="O261" s="196"/>
      <c r="P261" s="240">
        <f t="shared" si="104"/>
        <v>0</v>
      </c>
      <c r="Q261" s="196"/>
      <c r="R261" s="196"/>
      <c r="S261" s="196"/>
      <c r="T261" s="196"/>
      <c r="U261" s="196"/>
      <c r="V261" s="238">
        <f t="shared" si="105"/>
        <v>677.13491999999997</v>
      </c>
      <c r="W261" s="227">
        <f t="shared" si="106"/>
        <v>2.0030000000000001</v>
      </c>
      <c r="X261" s="237"/>
      <c r="Y261" s="237"/>
      <c r="Z261" s="237">
        <v>1.734</v>
      </c>
      <c r="AA261" s="237">
        <v>0.26900000000000002</v>
      </c>
      <c r="AB261" s="237"/>
      <c r="AC261" s="227">
        <f t="shared" si="107"/>
        <v>0.93</v>
      </c>
      <c r="AD261" s="239">
        <f t="shared" si="108"/>
        <v>0.93</v>
      </c>
      <c r="AE261" s="237"/>
      <c r="AF261" s="237"/>
      <c r="AG261" s="237"/>
      <c r="AH261" s="237">
        <v>0.93</v>
      </c>
      <c r="AI261" s="237"/>
      <c r="AJ261" s="239">
        <f t="shared" si="109"/>
        <v>0</v>
      </c>
      <c r="AK261" s="237"/>
      <c r="AL261" s="237"/>
      <c r="AM261" s="237"/>
      <c r="AN261" s="237"/>
      <c r="AO261" s="237"/>
      <c r="AP261" s="238">
        <v>276.75</v>
      </c>
      <c r="AQ261" s="334">
        <f t="shared" si="110"/>
        <v>0.35165028089887646</v>
      </c>
      <c r="AR261" s="207"/>
      <c r="AS261" s="196"/>
      <c r="AT261" s="196"/>
    </row>
    <row r="262" spans="1:46" hidden="1">
      <c r="A262" s="197">
        <v>19</v>
      </c>
      <c r="B262" s="279" t="s">
        <v>344</v>
      </c>
      <c r="C262" s="280">
        <f t="shared" si="101"/>
        <v>1.61</v>
      </c>
      <c r="D262" s="281">
        <v>0</v>
      </c>
      <c r="E262" s="281">
        <v>0</v>
      </c>
      <c r="F262" s="281">
        <v>1.61</v>
      </c>
      <c r="G262" s="281">
        <v>0</v>
      </c>
      <c r="H262" s="281">
        <v>0</v>
      </c>
      <c r="I262" s="249">
        <f t="shared" si="102"/>
        <v>0.45</v>
      </c>
      <c r="J262" s="240">
        <f t="shared" si="103"/>
        <v>0</v>
      </c>
      <c r="K262" s="196"/>
      <c r="L262" s="196"/>
      <c r="M262" s="196"/>
      <c r="N262" s="196"/>
      <c r="O262" s="196"/>
      <c r="P262" s="240">
        <f t="shared" si="104"/>
        <v>0.45</v>
      </c>
      <c r="Q262" s="196"/>
      <c r="R262" s="196"/>
      <c r="S262" s="196"/>
      <c r="T262" s="196">
        <v>0.45</v>
      </c>
      <c r="U262" s="196"/>
      <c r="V262" s="238">
        <f t="shared" si="105"/>
        <v>202.6293</v>
      </c>
      <c r="W262" s="227">
        <f t="shared" si="106"/>
        <v>3.226</v>
      </c>
      <c r="X262" s="237"/>
      <c r="Y262" s="237">
        <v>1.093</v>
      </c>
      <c r="Z262" s="237">
        <v>2.133</v>
      </c>
      <c r="AA262" s="237"/>
      <c r="AB262" s="237"/>
      <c r="AC262" s="227">
        <f t="shared" si="107"/>
        <v>0</v>
      </c>
      <c r="AD262" s="239">
        <f t="shared" si="108"/>
        <v>0</v>
      </c>
      <c r="AE262" s="237"/>
      <c r="AF262" s="237"/>
      <c r="AG262" s="237"/>
      <c r="AH262" s="237"/>
      <c r="AI262" s="237"/>
      <c r="AJ262" s="239">
        <f t="shared" si="109"/>
        <v>0</v>
      </c>
      <c r="AK262" s="237"/>
      <c r="AL262" s="237"/>
      <c r="AM262" s="237"/>
      <c r="AN262" s="237"/>
      <c r="AO262" s="237"/>
      <c r="AP262" s="238">
        <v>427.43147999999997</v>
      </c>
      <c r="AQ262" s="334">
        <f t="shared" si="110"/>
        <v>2.003726708074534</v>
      </c>
      <c r="AR262" s="207">
        <f>AC262/I262</f>
        <v>0</v>
      </c>
      <c r="AS262" s="196"/>
      <c r="AT262" s="196"/>
    </row>
    <row r="263" spans="1:46" hidden="1">
      <c r="A263" s="177" t="s">
        <v>26</v>
      </c>
      <c r="B263" s="178" t="s">
        <v>241</v>
      </c>
      <c r="C263" s="196"/>
      <c r="D263" s="196"/>
      <c r="E263" s="196"/>
      <c r="F263" s="196"/>
      <c r="G263" s="196"/>
      <c r="H263" s="196"/>
      <c r="I263" s="196"/>
      <c r="J263" s="196"/>
      <c r="K263" s="196"/>
      <c r="L263" s="196"/>
      <c r="M263" s="196"/>
      <c r="N263" s="196"/>
      <c r="O263" s="196"/>
      <c r="P263" s="196"/>
      <c r="Q263" s="196"/>
      <c r="R263" s="196"/>
      <c r="S263" s="196"/>
      <c r="T263" s="196"/>
      <c r="U263" s="196"/>
      <c r="V263" s="238"/>
      <c r="W263" s="196"/>
      <c r="X263" s="196"/>
      <c r="Y263" s="196"/>
      <c r="Z263" s="196"/>
      <c r="AA263" s="196"/>
      <c r="AB263" s="196"/>
      <c r="AC263" s="196"/>
      <c r="AD263" s="196"/>
      <c r="AE263" s="196"/>
      <c r="AF263" s="196"/>
      <c r="AG263" s="196"/>
      <c r="AH263" s="196"/>
      <c r="AI263" s="196"/>
      <c r="AJ263" s="196"/>
      <c r="AK263" s="196"/>
      <c r="AL263" s="196"/>
      <c r="AM263" s="196"/>
      <c r="AN263" s="196"/>
      <c r="AO263" s="196"/>
      <c r="AP263" s="238"/>
      <c r="AQ263" s="245"/>
      <c r="AR263" s="196"/>
      <c r="AS263" s="196"/>
      <c r="AT263" s="196"/>
    </row>
    <row r="264" spans="1:46" hidden="1">
      <c r="A264" s="197">
        <v>16</v>
      </c>
      <c r="B264" s="279" t="s">
        <v>345</v>
      </c>
      <c r="C264" s="214">
        <f>D264+E264+F264+G264</f>
        <v>7.9559999999999995</v>
      </c>
      <c r="D264" s="280">
        <v>0</v>
      </c>
      <c r="E264" s="280">
        <v>4.8780000000000001</v>
      </c>
      <c r="F264" s="245">
        <v>3.0779999999999998</v>
      </c>
      <c r="G264" s="280">
        <v>0</v>
      </c>
      <c r="H264" s="196"/>
      <c r="I264" s="249">
        <f>J264+P264</f>
        <v>4.6180000000000003</v>
      </c>
      <c r="J264" s="240">
        <f>SUM(K264:O264)</f>
        <v>0</v>
      </c>
      <c r="K264" s="196"/>
      <c r="L264" s="196"/>
      <c r="M264" s="196"/>
      <c r="N264" s="196"/>
      <c r="O264" s="196"/>
      <c r="P264" s="240">
        <f>SUM(Q264:U264)</f>
        <v>4.6180000000000003</v>
      </c>
      <c r="Q264" s="196"/>
      <c r="R264" s="196"/>
      <c r="S264" s="196"/>
      <c r="T264" s="196">
        <v>4.6180000000000003</v>
      </c>
      <c r="U264" s="196"/>
      <c r="V264" s="238">
        <f>D264*194.67+E264*173.04+F264*111.72+G264*111.72+H264*127.68+K264*86.255+L264*71.648+M264*84.489+N264*58.258+O264*53.065+Q264*72.658+R264*60.9+S264*74.716+T264*50.578+U264*46.62</f>
        <v>1421.5324840000001</v>
      </c>
      <c r="W264" s="227">
        <f>SUM(X264:AB264)</f>
        <v>8.2539999999999996</v>
      </c>
      <c r="X264" s="237"/>
      <c r="Y264" s="237">
        <v>1.1739999999999999</v>
      </c>
      <c r="Z264" s="237">
        <v>7.08</v>
      </c>
      <c r="AA264" s="237"/>
      <c r="AB264" s="237"/>
      <c r="AC264" s="227">
        <f>AD264+AJ264</f>
        <v>1.002</v>
      </c>
      <c r="AD264" s="239">
        <f>SUM(AE264:AI264)</f>
        <v>0</v>
      </c>
      <c r="AE264" s="237"/>
      <c r="AF264" s="237"/>
      <c r="AG264" s="237"/>
      <c r="AH264" s="237"/>
      <c r="AI264" s="237"/>
      <c r="AJ264" s="239">
        <f>SUM(AK264:AO264)</f>
        <v>1.002</v>
      </c>
      <c r="AK264" s="237"/>
      <c r="AL264" s="237"/>
      <c r="AM264" s="237">
        <v>0.54500000000000004</v>
      </c>
      <c r="AN264" s="237">
        <v>0.45700000000000002</v>
      </c>
      <c r="AO264" s="237"/>
      <c r="AP264" s="238">
        <v>1057</v>
      </c>
      <c r="AQ264" s="334">
        <f>W264/C264</f>
        <v>1.0374560080442434</v>
      </c>
      <c r="AR264" s="207">
        <f>AC264/I264</f>
        <v>0.2169770463404071</v>
      </c>
      <c r="AS264" s="196"/>
      <c r="AT264" s="196"/>
    </row>
    <row r="265" spans="1:46" hidden="1">
      <c r="A265" s="197">
        <v>18</v>
      </c>
      <c r="B265" s="279" t="s">
        <v>346</v>
      </c>
      <c r="C265" s="214">
        <f>D265+E265+F265+G265</f>
        <v>0.105</v>
      </c>
      <c r="D265" s="280">
        <v>0</v>
      </c>
      <c r="E265" s="280">
        <v>0</v>
      </c>
      <c r="F265" s="245">
        <v>0.105</v>
      </c>
      <c r="G265" s="280">
        <v>0</v>
      </c>
      <c r="H265" s="196"/>
      <c r="I265" s="249">
        <f>J265+P265</f>
        <v>0</v>
      </c>
      <c r="J265" s="240">
        <f>SUM(K265:O265)</f>
        <v>0</v>
      </c>
      <c r="K265" s="196"/>
      <c r="L265" s="196"/>
      <c r="M265" s="196"/>
      <c r="N265" s="196"/>
      <c r="O265" s="196"/>
      <c r="P265" s="240">
        <f>SUM(Q265:U265)</f>
        <v>0</v>
      </c>
      <c r="Q265" s="196"/>
      <c r="R265" s="196"/>
      <c r="S265" s="196"/>
      <c r="T265" s="196"/>
      <c r="U265" s="196"/>
      <c r="V265" s="238">
        <f>D265*194.67+E265*173.04+F265*111.72+G265*111.72+H265*127.68+K265*86.255+L265*71.648+M265*84.489+N265*58.258+O265*53.065+Q265*72.658+R265*60.9+S265*74.716+T265*50.578+U265*46.62</f>
        <v>11.730599999999999</v>
      </c>
      <c r="W265" s="227">
        <f>SUM(X265:AB265)</f>
        <v>0</v>
      </c>
      <c r="X265" s="237"/>
      <c r="Y265" s="237"/>
      <c r="Z265" s="237"/>
      <c r="AA265" s="237"/>
      <c r="AB265" s="237"/>
      <c r="AC265" s="227">
        <f>AD265+AJ265</f>
        <v>0</v>
      </c>
      <c r="AD265" s="239">
        <f>SUM(AE265:AI265)</f>
        <v>0</v>
      </c>
      <c r="AE265" s="237"/>
      <c r="AF265" s="237"/>
      <c r="AG265" s="237"/>
      <c r="AH265" s="237"/>
      <c r="AI265" s="237"/>
      <c r="AJ265" s="239">
        <f>SUM(AK265:AO265)</f>
        <v>0</v>
      </c>
      <c r="AK265" s="237"/>
      <c r="AL265" s="237"/>
      <c r="AM265" s="237"/>
      <c r="AN265" s="237"/>
      <c r="AO265" s="237"/>
      <c r="AP265" s="238"/>
      <c r="AQ265" s="334">
        <f>W265/C265</f>
        <v>0</v>
      </c>
      <c r="AR265" s="207"/>
      <c r="AS265" s="196"/>
      <c r="AT265" s="196"/>
    </row>
    <row r="266" spans="1:46" hidden="1">
      <c r="A266" s="196"/>
      <c r="B266" s="241" t="s">
        <v>1</v>
      </c>
      <c r="C266" s="227">
        <f t="shared" ref="C266:AP266" si="111">SUM(C246:C265)</f>
        <v>42.79699999999999</v>
      </c>
      <c r="D266" s="227">
        <f t="shared" si="111"/>
        <v>0.25</v>
      </c>
      <c r="E266" s="227">
        <f t="shared" si="111"/>
        <v>10.451700000000001</v>
      </c>
      <c r="F266" s="227">
        <f t="shared" si="111"/>
        <v>20.852</v>
      </c>
      <c r="G266" s="227">
        <f t="shared" si="111"/>
        <v>7.513300000000001</v>
      </c>
      <c r="H266" s="227">
        <f t="shared" si="111"/>
        <v>3.73</v>
      </c>
      <c r="I266" s="227">
        <f t="shared" si="111"/>
        <v>21.164000000000001</v>
      </c>
      <c r="J266" s="227">
        <f t="shared" si="111"/>
        <v>4.1710000000000003</v>
      </c>
      <c r="K266" s="227">
        <f t="shared" si="111"/>
        <v>0.57499999999999996</v>
      </c>
      <c r="L266" s="227">
        <f t="shared" si="111"/>
        <v>0</v>
      </c>
      <c r="M266" s="227">
        <f t="shared" si="111"/>
        <v>0.53600000000000003</v>
      </c>
      <c r="N266" s="227">
        <f t="shared" si="111"/>
        <v>3.06</v>
      </c>
      <c r="O266" s="227">
        <f t="shared" si="111"/>
        <v>0</v>
      </c>
      <c r="P266" s="227">
        <f t="shared" si="111"/>
        <v>16.993000000000002</v>
      </c>
      <c r="Q266" s="227">
        <f t="shared" si="111"/>
        <v>0.5</v>
      </c>
      <c r="R266" s="227">
        <f t="shared" si="111"/>
        <v>0.3</v>
      </c>
      <c r="S266" s="227">
        <f t="shared" si="111"/>
        <v>3.5330000000000004</v>
      </c>
      <c r="T266" s="227">
        <f t="shared" si="111"/>
        <v>12.66</v>
      </c>
      <c r="U266" s="227">
        <f t="shared" si="111"/>
        <v>0</v>
      </c>
      <c r="V266" s="242">
        <f t="shared" si="111"/>
        <v>6734.4877009999991</v>
      </c>
      <c r="W266" s="227">
        <f t="shared" si="111"/>
        <v>43.052999999999997</v>
      </c>
      <c r="X266" s="227">
        <f t="shared" si="111"/>
        <v>0.4</v>
      </c>
      <c r="Y266" s="227">
        <f t="shared" si="111"/>
        <v>7.2750000000000004</v>
      </c>
      <c r="Z266" s="227">
        <f t="shared" si="111"/>
        <v>30.180000000000007</v>
      </c>
      <c r="AA266" s="227">
        <f t="shared" si="111"/>
        <v>4.0999999999999996</v>
      </c>
      <c r="AB266" s="227">
        <f t="shared" si="111"/>
        <v>1.0979999999999999</v>
      </c>
      <c r="AC266" s="227">
        <f t="shared" si="111"/>
        <v>7.2219999999999995</v>
      </c>
      <c r="AD266" s="227">
        <f t="shared" si="111"/>
        <v>4.0339999999999998</v>
      </c>
      <c r="AE266" s="227">
        <f t="shared" si="111"/>
        <v>1.1870000000000001</v>
      </c>
      <c r="AF266" s="227">
        <f t="shared" si="111"/>
        <v>0</v>
      </c>
      <c r="AG266" s="227">
        <f t="shared" si="111"/>
        <v>0</v>
      </c>
      <c r="AH266" s="227">
        <f t="shared" si="111"/>
        <v>2.847</v>
      </c>
      <c r="AI266" s="227">
        <f t="shared" si="111"/>
        <v>0</v>
      </c>
      <c r="AJ266" s="227">
        <f t="shared" si="111"/>
        <v>3.1879999999999997</v>
      </c>
      <c r="AK266" s="227">
        <f t="shared" si="111"/>
        <v>0.97700000000000009</v>
      </c>
      <c r="AL266" s="227">
        <f t="shared" si="111"/>
        <v>0</v>
      </c>
      <c r="AM266" s="227">
        <f t="shared" si="111"/>
        <v>0.95000000000000007</v>
      </c>
      <c r="AN266" s="227">
        <f t="shared" si="111"/>
        <v>1.2610000000000001</v>
      </c>
      <c r="AO266" s="227">
        <f t="shared" si="111"/>
        <v>0</v>
      </c>
      <c r="AP266" s="242">
        <f t="shared" si="111"/>
        <v>5534.8876799999998</v>
      </c>
      <c r="AQ266" s="332">
        <f>W266/C266</f>
        <v>1.0059817276911935</v>
      </c>
      <c r="AR266" s="226">
        <f>AC266/I266</f>
        <v>0.34123984123984119</v>
      </c>
      <c r="AS266" s="227">
        <f>SUM(AS246:AS265)</f>
        <v>0</v>
      </c>
      <c r="AT266" s="227">
        <f>SUM(AT246:AT265)</f>
        <v>0</v>
      </c>
    </row>
    <row r="267" spans="1:46" ht="42.75" hidden="1" customHeight="1"/>
    <row r="268" spans="1:46" hidden="1">
      <c r="B268" s="538" t="s">
        <v>190</v>
      </c>
      <c r="C268" s="539"/>
      <c r="D268" s="539"/>
      <c r="E268" s="539"/>
      <c r="F268" s="539"/>
      <c r="V268" s="173" t="s">
        <v>157</v>
      </c>
      <c r="W268" s="174"/>
      <c r="X268" s="174"/>
      <c r="Y268" s="174"/>
      <c r="Z268" s="174"/>
      <c r="AA268" s="174"/>
      <c r="AB268" s="174"/>
      <c r="AC268" s="174"/>
      <c r="AD268" s="174"/>
      <c r="AE268" s="174"/>
      <c r="AF268" s="174"/>
      <c r="AG268" s="174"/>
      <c r="AH268" s="174"/>
      <c r="AI268" s="174"/>
      <c r="AJ268" s="174"/>
      <c r="AK268" s="174"/>
      <c r="AL268" s="174"/>
      <c r="AM268" s="174"/>
      <c r="AN268" s="174"/>
      <c r="AO268" s="174"/>
      <c r="AP268" s="174"/>
      <c r="AQ268" s="331"/>
    </row>
    <row r="269" spans="1:46" hidden="1">
      <c r="B269" s="540" t="s">
        <v>347</v>
      </c>
      <c r="C269" s="541"/>
      <c r="D269" s="541"/>
      <c r="E269" s="541"/>
      <c r="F269" s="541"/>
      <c r="V269" s="175" t="s">
        <v>348</v>
      </c>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331"/>
    </row>
    <row r="270" spans="1:46" hidden="1">
      <c r="B270" s="172"/>
      <c r="C270" s="172"/>
      <c r="D270" s="172"/>
      <c r="E270" s="172"/>
      <c r="F270" s="172"/>
      <c r="V270" s="173"/>
      <c r="W270" s="174"/>
      <c r="X270" s="174"/>
      <c r="Y270" s="174"/>
      <c r="Z270" s="174"/>
      <c r="AA270" s="174"/>
      <c r="AB270" s="174"/>
      <c r="AC270" s="174"/>
      <c r="AD270" s="174"/>
      <c r="AE270" s="174"/>
      <c r="AF270" s="174"/>
      <c r="AG270" s="174"/>
      <c r="AH270" s="174"/>
      <c r="AI270" s="174"/>
      <c r="AJ270" s="174"/>
      <c r="AK270" s="174"/>
      <c r="AL270" s="174"/>
      <c r="AM270" s="174"/>
      <c r="AN270" s="174"/>
      <c r="AO270" s="174"/>
      <c r="AP270" s="174"/>
      <c r="AQ270" s="331"/>
    </row>
    <row r="271" spans="1:46" hidden="1">
      <c r="A271" s="542" t="str">
        <f>A238</f>
        <v>Biểu 5: KẾT QUẢ THỰC HIỆN KẾ HOẠCH LÀM ĐƯỜNG GTNT, RÃNH THOÁT NƯỚC THEO CƠ CHẾ HỖ TRỢ XI MĂNG ĐẾN NGÀY 19/12/2016</v>
      </c>
      <c r="B271" s="542"/>
      <c r="C271" s="542"/>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2"/>
      <c r="AA271" s="542"/>
      <c r="AB271" s="542"/>
      <c r="AC271" s="542"/>
      <c r="AD271" s="542"/>
      <c r="AE271" s="542"/>
      <c r="AF271" s="542"/>
      <c r="AG271" s="542"/>
      <c r="AH271" s="542"/>
      <c r="AI271" s="542"/>
      <c r="AJ271" s="542"/>
      <c r="AK271" s="542"/>
      <c r="AL271" s="542"/>
      <c r="AM271" s="542"/>
      <c r="AN271" s="542"/>
      <c r="AO271" s="542"/>
      <c r="AP271" s="542"/>
      <c r="AQ271" s="542"/>
      <c r="AR271" s="542"/>
      <c r="AS271" s="542"/>
      <c r="AT271" s="542"/>
    </row>
    <row r="272" spans="1:46" hidden="1">
      <c r="A272" s="543"/>
      <c r="B272" s="543"/>
      <c r="C272" s="543"/>
      <c r="D272" s="543"/>
      <c r="E272" s="543"/>
      <c r="F272" s="543"/>
      <c r="G272" s="543"/>
      <c r="H272" s="543"/>
      <c r="I272" s="543"/>
      <c r="J272" s="543"/>
      <c r="K272" s="543"/>
      <c r="L272" s="543"/>
      <c r="M272" s="543"/>
      <c r="N272" s="543"/>
      <c r="O272" s="543"/>
      <c r="P272" s="543"/>
      <c r="Q272" s="543"/>
      <c r="R272" s="543"/>
      <c r="S272" s="543"/>
      <c r="T272" s="543"/>
      <c r="U272" s="543"/>
      <c r="V272" s="543"/>
      <c r="W272" s="543"/>
      <c r="X272" s="543"/>
      <c r="Y272" s="543"/>
      <c r="Z272" s="543"/>
      <c r="AA272" s="543"/>
      <c r="AB272" s="543"/>
      <c r="AC272" s="543"/>
      <c r="AD272" s="543"/>
      <c r="AE272" s="543"/>
      <c r="AF272" s="543"/>
      <c r="AG272" s="543"/>
      <c r="AH272" s="543"/>
      <c r="AI272" s="543"/>
      <c r="AJ272" s="543"/>
      <c r="AK272" s="543"/>
      <c r="AL272" s="543"/>
      <c r="AM272" s="543"/>
      <c r="AN272" s="543"/>
      <c r="AO272" s="543"/>
      <c r="AP272" s="543"/>
      <c r="AQ272" s="543"/>
      <c r="AR272" s="543"/>
      <c r="AS272" s="543"/>
      <c r="AT272" s="543"/>
    </row>
    <row r="273" spans="1:47" ht="14.25" hidden="1" customHeight="1">
      <c r="A273" s="544" t="s">
        <v>0</v>
      </c>
      <c r="B273" s="533" t="s">
        <v>161</v>
      </c>
      <c r="C273" s="546" t="s">
        <v>162</v>
      </c>
      <c r="D273" s="546"/>
      <c r="E273" s="546"/>
      <c r="F273" s="546"/>
      <c r="G273" s="546"/>
      <c r="H273" s="546"/>
      <c r="I273" s="546"/>
      <c r="J273" s="546"/>
      <c r="K273" s="546"/>
      <c r="L273" s="546"/>
      <c r="M273" s="546"/>
      <c r="N273" s="546"/>
      <c r="O273" s="546"/>
      <c r="P273" s="546"/>
      <c r="Q273" s="546"/>
      <c r="R273" s="546"/>
      <c r="S273" s="546"/>
      <c r="T273" s="546"/>
      <c r="U273" s="546"/>
      <c r="V273" s="546"/>
      <c r="W273" s="547" t="s">
        <v>163</v>
      </c>
      <c r="X273" s="547"/>
      <c r="Y273" s="547"/>
      <c r="Z273" s="547"/>
      <c r="AA273" s="547"/>
      <c r="AB273" s="547"/>
      <c r="AC273" s="547"/>
      <c r="AD273" s="547"/>
      <c r="AE273" s="547"/>
      <c r="AF273" s="547"/>
      <c r="AG273" s="547"/>
      <c r="AH273" s="547"/>
      <c r="AI273" s="547"/>
      <c r="AJ273" s="547"/>
      <c r="AK273" s="547"/>
      <c r="AL273" s="547"/>
      <c r="AM273" s="547"/>
      <c r="AN273" s="547"/>
      <c r="AO273" s="547"/>
      <c r="AP273" s="547"/>
      <c r="AQ273" s="547" t="s">
        <v>164</v>
      </c>
      <c r="AR273" s="547"/>
      <c r="AS273" s="547" t="s">
        <v>165</v>
      </c>
      <c r="AT273" s="547"/>
    </row>
    <row r="274" spans="1:47" ht="15" hidden="1" customHeight="1">
      <c r="A274" s="545"/>
      <c r="B274" s="534"/>
      <c r="C274" s="533" t="s">
        <v>166</v>
      </c>
      <c r="D274" s="536" t="s">
        <v>167</v>
      </c>
      <c r="E274" s="536"/>
      <c r="F274" s="536"/>
      <c r="G274" s="536"/>
      <c r="H274" s="536"/>
      <c r="I274" s="533" t="s">
        <v>168</v>
      </c>
      <c r="J274" s="537" t="s">
        <v>167</v>
      </c>
      <c r="K274" s="537"/>
      <c r="L274" s="537"/>
      <c r="M274" s="537"/>
      <c r="N274" s="537"/>
      <c r="O274" s="537"/>
      <c r="P274" s="537"/>
      <c r="Q274" s="537"/>
      <c r="R274" s="537"/>
      <c r="S274" s="537"/>
      <c r="T274" s="537"/>
      <c r="U274" s="537"/>
      <c r="V274" s="552" t="s">
        <v>169</v>
      </c>
      <c r="W274" s="533" t="s">
        <v>170</v>
      </c>
      <c r="X274" s="555" t="s">
        <v>167</v>
      </c>
      <c r="Y274" s="555"/>
      <c r="Z274" s="555"/>
      <c r="AA274" s="555"/>
      <c r="AB274" s="555"/>
      <c r="AC274" s="533" t="s">
        <v>168</v>
      </c>
      <c r="AD274" s="537" t="s">
        <v>167</v>
      </c>
      <c r="AE274" s="537"/>
      <c r="AF274" s="537"/>
      <c r="AG274" s="537"/>
      <c r="AH274" s="537"/>
      <c r="AI274" s="537"/>
      <c r="AJ274" s="537"/>
      <c r="AK274" s="537"/>
      <c r="AL274" s="537"/>
      <c r="AM274" s="537"/>
      <c r="AN274" s="537"/>
      <c r="AO274" s="537"/>
      <c r="AP274" s="552" t="s">
        <v>171</v>
      </c>
      <c r="AQ274" s="548" t="s">
        <v>172</v>
      </c>
      <c r="AR274" s="548" t="s">
        <v>173</v>
      </c>
      <c r="AS274" s="548" t="s">
        <v>170</v>
      </c>
      <c r="AT274" s="548" t="s">
        <v>168</v>
      </c>
    </row>
    <row r="275" spans="1:47" ht="15" hidden="1" customHeight="1">
      <c r="A275" s="545"/>
      <c r="B275" s="534"/>
      <c r="C275" s="534"/>
      <c r="D275" s="552" t="s">
        <v>174</v>
      </c>
      <c r="E275" s="552" t="s">
        <v>175</v>
      </c>
      <c r="F275" s="552" t="s">
        <v>176</v>
      </c>
      <c r="G275" s="552" t="s">
        <v>177</v>
      </c>
      <c r="H275" s="552" t="s">
        <v>178</v>
      </c>
      <c r="I275" s="534"/>
      <c r="J275" s="537" t="s">
        <v>179</v>
      </c>
      <c r="K275" s="537"/>
      <c r="L275" s="537"/>
      <c r="M275" s="537"/>
      <c r="N275" s="537"/>
      <c r="O275" s="537"/>
      <c r="P275" s="537" t="s">
        <v>180</v>
      </c>
      <c r="Q275" s="537"/>
      <c r="R275" s="537"/>
      <c r="S275" s="537"/>
      <c r="T275" s="537"/>
      <c r="U275" s="537"/>
      <c r="V275" s="553"/>
      <c r="W275" s="534"/>
      <c r="X275" s="552" t="s">
        <v>174</v>
      </c>
      <c r="Y275" s="552" t="s">
        <v>175</v>
      </c>
      <c r="Z275" s="552" t="s">
        <v>176</v>
      </c>
      <c r="AA275" s="552" t="s">
        <v>177</v>
      </c>
      <c r="AB275" s="552" t="s">
        <v>178</v>
      </c>
      <c r="AC275" s="534"/>
      <c r="AD275" s="537" t="s">
        <v>179</v>
      </c>
      <c r="AE275" s="537"/>
      <c r="AF275" s="537"/>
      <c r="AG275" s="537"/>
      <c r="AH275" s="537"/>
      <c r="AI275" s="537"/>
      <c r="AJ275" s="537" t="s">
        <v>180</v>
      </c>
      <c r="AK275" s="537"/>
      <c r="AL275" s="537"/>
      <c r="AM275" s="537"/>
      <c r="AN275" s="537"/>
      <c r="AO275" s="537"/>
      <c r="AP275" s="553"/>
      <c r="AQ275" s="549"/>
      <c r="AR275" s="549"/>
      <c r="AS275" s="549"/>
      <c r="AT275" s="549"/>
    </row>
    <row r="276" spans="1:47" ht="15.5" hidden="1">
      <c r="A276" s="179"/>
      <c r="B276" s="534"/>
      <c r="C276" s="534"/>
      <c r="D276" s="553"/>
      <c r="E276" s="553"/>
      <c r="F276" s="553"/>
      <c r="G276" s="553"/>
      <c r="H276" s="553"/>
      <c r="I276" s="534"/>
      <c r="J276" s="556" t="s">
        <v>1</v>
      </c>
      <c r="K276" s="551" t="s">
        <v>181</v>
      </c>
      <c r="L276" s="551"/>
      <c r="M276" s="551" t="s">
        <v>182</v>
      </c>
      <c r="N276" s="551"/>
      <c r="O276" s="551" t="s">
        <v>183</v>
      </c>
      <c r="P276" s="556" t="s">
        <v>1</v>
      </c>
      <c r="Q276" s="551" t="s">
        <v>181</v>
      </c>
      <c r="R276" s="551"/>
      <c r="S276" s="551" t="s">
        <v>182</v>
      </c>
      <c r="T276" s="551"/>
      <c r="U276" s="551" t="s">
        <v>183</v>
      </c>
      <c r="V276" s="553"/>
      <c r="W276" s="534"/>
      <c r="X276" s="553"/>
      <c r="Y276" s="553"/>
      <c r="Z276" s="553"/>
      <c r="AA276" s="553"/>
      <c r="AB276" s="553"/>
      <c r="AC276" s="534"/>
      <c r="AD276" s="556" t="s">
        <v>1</v>
      </c>
      <c r="AE276" s="551" t="s">
        <v>181</v>
      </c>
      <c r="AF276" s="551"/>
      <c r="AG276" s="551" t="s">
        <v>182</v>
      </c>
      <c r="AH276" s="551"/>
      <c r="AI276" s="551" t="s">
        <v>183</v>
      </c>
      <c r="AJ276" s="556" t="s">
        <v>1</v>
      </c>
      <c r="AK276" s="551" t="s">
        <v>181</v>
      </c>
      <c r="AL276" s="551"/>
      <c r="AM276" s="551" t="s">
        <v>182</v>
      </c>
      <c r="AN276" s="551"/>
      <c r="AO276" s="551" t="s">
        <v>183</v>
      </c>
      <c r="AP276" s="553"/>
      <c r="AQ276" s="549"/>
      <c r="AR276" s="549"/>
      <c r="AS276" s="549"/>
      <c r="AT276" s="549"/>
    </row>
    <row r="277" spans="1:47" ht="90" hidden="1" customHeight="1">
      <c r="A277" s="179"/>
      <c r="B277" s="535"/>
      <c r="C277" s="535"/>
      <c r="D277" s="554"/>
      <c r="E277" s="554"/>
      <c r="F277" s="554"/>
      <c r="G277" s="554"/>
      <c r="H277" s="554"/>
      <c r="I277" s="535"/>
      <c r="J277" s="557"/>
      <c r="K277" s="186" t="s">
        <v>184</v>
      </c>
      <c r="L277" s="186" t="s">
        <v>185</v>
      </c>
      <c r="M277" s="186" t="s">
        <v>184</v>
      </c>
      <c r="N277" s="186" t="s">
        <v>185</v>
      </c>
      <c r="O277" s="551"/>
      <c r="P277" s="557"/>
      <c r="Q277" s="186" t="s">
        <v>184</v>
      </c>
      <c r="R277" s="186" t="s">
        <v>185</v>
      </c>
      <c r="S277" s="186" t="s">
        <v>184</v>
      </c>
      <c r="T277" s="186" t="s">
        <v>185</v>
      </c>
      <c r="U277" s="551"/>
      <c r="V277" s="554"/>
      <c r="W277" s="535"/>
      <c r="X277" s="554"/>
      <c r="Y277" s="554"/>
      <c r="Z277" s="554"/>
      <c r="AA277" s="554"/>
      <c r="AB277" s="554"/>
      <c r="AC277" s="535"/>
      <c r="AD277" s="557"/>
      <c r="AE277" s="186" t="s">
        <v>184</v>
      </c>
      <c r="AF277" s="186" t="s">
        <v>185</v>
      </c>
      <c r="AG277" s="186" t="s">
        <v>184</v>
      </c>
      <c r="AH277" s="186" t="s">
        <v>185</v>
      </c>
      <c r="AI277" s="551"/>
      <c r="AJ277" s="557"/>
      <c r="AK277" s="186" t="s">
        <v>184</v>
      </c>
      <c r="AL277" s="186" t="s">
        <v>185</v>
      </c>
      <c r="AM277" s="186" t="s">
        <v>184</v>
      </c>
      <c r="AN277" s="186" t="s">
        <v>185</v>
      </c>
      <c r="AO277" s="551"/>
      <c r="AP277" s="554"/>
      <c r="AQ277" s="550"/>
      <c r="AR277" s="550"/>
      <c r="AS277" s="550"/>
      <c r="AT277" s="550"/>
    </row>
    <row r="278" spans="1:47" hidden="1">
      <c r="A278" s="177" t="s">
        <v>25</v>
      </c>
      <c r="B278" s="178" t="s">
        <v>215</v>
      </c>
      <c r="C278" s="227"/>
      <c r="D278" s="252"/>
      <c r="E278" s="252"/>
      <c r="F278" s="252"/>
      <c r="G278" s="252"/>
      <c r="H278" s="252"/>
      <c r="I278" s="227"/>
      <c r="J278" s="227"/>
      <c r="K278" s="209"/>
      <c r="L278" s="209"/>
      <c r="M278" s="209"/>
      <c r="N278" s="209"/>
      <c r="O278" s="209"/>
      <c r="P278" s="239"/>
      <c r="Q278" s="209"/>
      <c r="R278" s="209"/>
      <c r="S278" s="209"/>
      <c r="T278" s="209"/>
      <c r="U278" s="209"/>
      <c r="V278" s="196"/>
      <c r="W278" s="196"/>
      <c r="X278" s="196"/>
      <c r="Y278" s="196"/>
      <c r="Z278" s="196"/>
      <c r="AA278" s="196"/>
      <c r="AB278" s="196"/>
      <c r="AC278" s="196"/>
      <c r="AD278" s="196"/>
      <c r="AE278" s="196"/>
      <c r="AF278" s="196"/>
      <c r="AG278" s="196"/>
      <c r="AH278" s="196"/>
      <c r="AI278" s="196"/>
      <c r="AJ278" s="196"/>
      <c r="AK278" s="196"/>
      <c r="AL278" s="196"/>
      <c r="AM278" s="196"/>
      <c r="AN278" s="196"/>
      <c r="AO278" s="196"/>
      <c r="AP278" s="196"/>
      <c r="AQ278" s="245"/>
      <c r="AR278" s="196"/>
      <c r="AS278" s="196"/>
      <c r="AT278" s="196"/>
    </row>
    <row r="279" spans="1:47" hidden="1">
      <c r="A279" s="196">
        <v>1</v>
      </c>
      <c r="B279" s="279" t="s">
        <v>349</v>
      </c>
      <c r="C279" s="227">
        <f t="shared" ref="C279:C305" si="112">SUM(D279:H279)</f>
        <v>0.1</v>
      </c>
      <c r="D279" s="283"/>
      <c r="E279" s="284"/>
      <c r="F279" s="284">
        <v>0.1</v>
      </c>
      <c r="G279" s="284"/>
      <c r="H279" s="284"/>
      <c r="I279" s="227">
        <f t="shared" ref="I279:I305" si="113">J279+P279</f>
        <v>0</v>
      </c>
      <c r="J279" s="285">
        <f t="shared" ref="J279:J305" si="114">SUM(K279:O279)</f>
        <v>0</v>
      </c>
      <c r="K279" s="252"/>
      <c r="L279" s="252"/>
      <c r="M279" s="252"/>
      <c r="N279" s="252"/>
      <c r="O279" s="252"/>
      <c r="P279" s="285">
        <f t="shared" ref="P279:P305" si="115">SUM(Q279:U279)</f>
        <v>0</v>
      </c>
      <c r="Q279" s="252"/>
      <c r="R279" s="252"/>
      <c r="S279" s="252"/>
      <c r="T279" s="252"/>
      <c r="U279" s="252"/>
      <c r="V279" s="238">
        <f t="shared" ref="V279:V305" si="116">D279*194.67+E279*173.04+F279*111.72+G279*111.72+H279*127.68+K279*86.255+L279*71.648+M279*84.489+N279*58.258+O279*53.065+Q279*72.658+R279*60.9+S279*74.716+T279*50.578+U279*46.62</f>
        <v>11.172000000000001</v>
      </c>
      <c r="W279" s="227">
        <f t="shared" ref="W279:W305" si="117">SUM(X279:AB279)</f>
        <v>0.22</v>
      </c>
      <c r="X279" s="237"/>
      <c r="Y279" s="237"/>
      <c r="Z279" s="237">
        <v>0.22</v>
      </c>
      <c r="AA279" s="237"/>
      <c r="AB279" s="237"/>
      <c r="AC279" s="286"/>
      <c r="AD279" s="239">
        <f t="shared" ref="AD279:AD305" si="118">SUM(AE279:AI279)</f>
        <v>0</v>
      </c>
      <c r="AE279" s="237"/>
      <c r="AF279" s="237"/>
      <c r="AG279" s="237"/>
      <c r="AH279" s="237"/>
      <c r="AI279" s="237"/>
      <c r="AJ279" s="239">
        <f t="shared" ref="AJ279:AJ305" si="119">SUM(AK279:AO279)</f>
        <v>0</v>
      </c>
      <c r="AK279" s="237"/>
      <c r="AL279" s="237"/>
      <c r="AM279" s="237"/>
      <c r="AN279" s="237"/>
      <c r="AO279" s="237"/>
      <c r="AP279" s="196">
        <v>24.5</v>
      </c>
      <c r="AQ279" s="334">
        <f t="shared" ref="AQ279:AQ305" si="120">W279/C279</f>
        <v>2.1999999999999997</v>
      </c>
      <c r="AR279" s="207" t="e">
        <f t="shared" ref="AR279:AR305" si="121">AC279/I279</f>
        <v>#DIV/0!</v>
      </c>
      <c r="AS279" s="196"/>
      <c r="AT279" s="196"/>
      <c r="AU279" s="273" t="str">
        <f t="shared" ref="AU279:AU305" si="122">IF(W279+AC279=0,"Chưa thực hiện","")</f>
        <v/>
      </c>
    </row>
    <row r="280" spans="1:47" hidden="1">
      <c r="A280" s="196">
        <v>2</v>
      </c>
      <c r="B280" s="279" t="s">
        <v>350</v>
      </c>
      <c r="C280" s="227">
        <f t="shared" si="112"/>
        <v>1.8</v>
      </c>
      <c r="D280" s="283"/>
      <c r="E280" s="284"/>
      <c r="F280" s="284">
        <v>1.6</v>
      </c>
      <c r="G280" s="284">
        <v>0.2</v>
      </c>
      <c r="H280" s="284"/>
      <c r="I280" s="227">
        <f t="shared" si="113"/>
        <v>0.5</v>
      </c>
      <c r="J280" s="285">
        <f t="shared" si="114"/>
        <v>0.5</v>
      </c>
      <c r="K280" s="252"/>
      <c r="L280" s="252"/>
      <c r="M280" s="252">
        <v>0.5</v>
      </c>
      <c r="N280" s="252"/>
      <c r="O280" s="252"/>
      <c r="P280" s="285">
        <f t="shared" si="115"/>
        <v>0</v>
      </c>
      <c r="Q280" s="252"/>
      <c r="R280" s="252"/>
      <c r="S280" s="252"/>
      <c r="T280" s="252"/>
      <c r="U280" s="252"/>
      <c r="V280" s="238">
        <f t="shared" si="116"/>
        <v>243.34050000000002</v>
      </c>
      <c r="W280" s="227">
        <f t="shared" si="117"/>
        <v>3.0449999999999999</v>
      </c>
      <c r="X280" s="237"/>
      <c r="Y280" s="237"/>
      <c r="Z280" s="237">
        <v>1.9450000000000001</v>
      </c>
      <c r="AA280" s="237">
        <v>1.1000000000000001</v>
      </c>
      <c r="AB280" s="237"/>
      <c r="AC280" s="286">
        <v>0.7</v>
      </c>
      <c r="AD280" s="239">
        <f t="shared" si="118"/>
        <v>0.5</v>
      </c>
      <c r="AE280" s="237"/>
      <c r="AF280" s="237"/>
      <c r="AG280" s="237">
        <v>0.5</v>
      </c>
      <c r="AH280" s="237"/>
      <c r="AI280" s="237"/>
      <c r="AJ280" s="239">
        <f t="shared" si="119"/>
        <v>0</v>
      </c>
      <c r="AK280" s="237"/>
      <c r="AL280" s="237"/>
      <c r="AM280" s="237"/>
      <c r="AN280" s="237"/>
      <c r="AO280" s="237"/>
      <c r="AP280" s="196">
        <v>415.1</v>
      </c>
      <c r="AQ280" s="334">
        <f t="shared" si="120"/>
        <v>1.6916666666666667</v>
      </c>
      <c r="AR280" s="207">
        <f t="shared" si="121"/>
        <v>1.4</v>
      </c>
      <c r="AS280" s="196"/>
      <c r="AT280" s="196"/>
      <c r="AU280" s="273" t="str">
        <f t="shared" si="122"/>
        <v/>
      </c>
    </row>
    <row r="281" spans="1:47" hidden="1">
      <c r="A281" s="196">
        <v>3</v>
      </c>
      <c r="B281" s="279" t="s">
        <v>351</v>
      </c>
      <c r="C281" s="227">
        <f t="shared" si="112"/>
        <v>0.8</v>
      </c>
      <c r="D281" s="283"/>
      <c r="E281" s="284"/>
      <c r="F281" s="284">
        <v>0.8</v>
      </c>
      <c r="G281" s="284"/>
      <c r="H281" s="284"/>
      <c r="I281" s="227">
        <f t="shared" si="113"/>
        <v>0</v>
      </c>
      <c r="J281" s="285">
        <f t="shared" si="114"/>
        <v>0</v>
      </c>
      <c r="K281" s="252"/>
      <c r="L281" s="252"/>
      <c r="M281" s="252"/>
      <c r="N281" s="252"/>
      <c r="O281" s="252"/>
      <c r="P281" s="285">
        <f t="shared" si="115"/>
        <v>0</v>
      </c>
      <c r="Q281" s="252"/>
      <c r="R281" s="252"/>
      <c r="S281" s="252"/>
      <c r="T281" s="252"/>
      <c r="U281" s="252"/>
      <c r="V281" s="238">
        <f t="shared" si="116"/>
        <v>89.376000000000005</v>
      </c>
      <c r="W281" s="227">
        <f t="shared" si="117"/>
        <v>0.77</v>
      </c>
      <c r="X281" s="237"/>
      <c r="Y281" s="237"/>
      <c r="Z281" s="237">
        <v>0.77</v>
      </c>
      <c r="AA281" s="237"/>
      <c r="AB281" s="237"/>
      <c r="AC281" s="286"/>
      <c r="AD281" s="239">
        <f t="shared" si="118"/>
        <v>0</v>
      </c>
      <c r="AE281" s="237"/>
      <c r="AF281" s="237"/>
      <c r="AG281" s="237"/>
      <c r="AH281" s="237"/>
      <c r="AI281" s="237"/>
      <c r="AJ281" s="239">
        <f t="shared" si="119"/>
        <v>0</v>
      </c>
      <c r="AK281" s="237"/>
      <c r="AL281" s="237"/>
      <c r="AM281" s="237"/>
      <c r="AN281" s="237"/>
      <c r="AO281" s="237"/>
      <c r="AP281" s="196">
        <v>83.4</v>
      </c>
      <c r="AQ281" s="334">
        <f t="shared" si="120"/>
        <v>0.96250000000000002</v>
      </c>
      <c r="AR281" s="207" t="e">
        <f t="shared" si="121"/>
        <v>#DIV/0!</v>
      </c>
      <c r="AS281" s="196"/>
      <c r="AT281" s="196"/>
      <c r="AU281" s="273" t="str">
        <f t="shared" si="122"/>
        <v/>
      </c>
    </row>
    <row r="282" spans="1:47" hidden="1">
      <c r="A282" s="196">
        <v>4</v>
      </c>
      <c r="B282" s="279" t="s">
        <v>352</v>
      </c>
      <c r="C282" s="227">
        <f t="shared" si="112"/>
        <v>0.1</v>
      </c>
      <c r="D282" s="283"/>
      <c r="E282" s="284"/>
      <c r="F282" s="284">
        <v>0.1</v>
      </c>
      <c r="G282" s="284"/>
      <c r="H282" s="284"/>
      <c r="I282" s="227">
        <f t="shared" si="113"/>
        <v>0.7</v>
      </c>
      <c r="J282" s="285">
        <f t="shared" si="114"/>
        <v>0.7</v>
      </c>
      <c r="K282" s="252"/>
      <c r="L282" s="252"/>
      <c r="M282" s="252">
        <v>0.7</v>
      </c>
      <c r="N282" s="252"/>
      <c r="O282" s="252"/>
      <c r="P282" s="285">
        <f t="shared" si="115"/>
        <v>0</v>
      </c>
      <c r="Q282" s="252"/>
      <c r="R282" s="252"/>
      <c r="S282" s="252"/>
      <c r="T282" s="252"/>
      <c r="U282" s="252"/>
      <c r="V282" s="238">
        <f t="shared" si="116"/>
        <v>70.314300000000003</v>
      </c>
      <c r="W282" s="227">
        <f t="shared" si="117"/>
        <v>1.236</v>
      </c>
      <c r="X282" s="237"/>
      <c r="Y282" s="237"/>
      <c r="Z282" s="237">
        <v>1.236</v>
      </c>
      <c r="AA282" s="237"/>
      <c r="AB282" s="237"/>
      <c r="AC282" s="286">
        <v>0.9</v>
      </c>
      <c r="AD282" s="239">
        <f t="shared" si="118"/>
        <v>0.5</v>
      </c>
      <c r="AE282" s="237">
        <v>0.4</v>
      </c>
      <c r="AF282" s="237"/>
      <c r="AG282" s="237"/>
      <c r="AH282" s="237">
        <v>0.1</v>
      </c>
      <c r="AI282" s="237"/>
      <c r="AJ282" s="239">
        <f t="shared" si="119"/>
        <v>0</v>
      </c>
      <c r="AK282" s="237"/>
      <c r="AL282" s="237"/>
      <c r="AM282" s="237"/>
      <c r="AN282" s="237"/>
      <c r="AO282" s="237"/>
      <c r="AP282" s="196">
        <v>207.9</v>
      </c>
      <c r="AQ282" s="334">
        <f t="shared" si="120"/>
        <v>12.36</v>
      </c>
      <c r="AR282" s="207">
        <f t="shared" si="121"/>
        <v>1.2857142857142858</v>
      </c>
      <c r="AS282" s="196"/>
      <c r="AT282" s="196"/>
      <c r="AU282" s="273" t="str">
        <f t="shared" si="122"/>
        <v/>
      </c>
    </row>
    <row r="283" spans="1:47" hidden="1">
      <c r="A283" s="196">
        <v>5</v>
      </c>
      <c r="B283" s="279" t="s">
        <v>353</v>
      </c>
      <c r="C283" s="227">
        <f t="shared" si="112"/>
        <v>2</v>
      </c>
      <c r="D283" s="283"/>
      <c r="E283" s="284"/>
      <c r="F283" s="284">
        <v>0.5</v>
      </c>
      <c r="G283" s="284">
        <v>1.5</v>
      </c>
      <c r="H283" s="284"/>
      <c r="I283" s="227">
        <f t="shared" si="113"/>
        <v>0</v>
      </c>
      <c r="J283" s="285">
        <f t="shared" si="114"/>
        <v>0</v>
      </c>
      <c r="K283" s="252"/>
      <c r="L283" s="252"/>
      <c r="M283" s="252"/>
      <c r="N283" s="252"/>
      <c r="O283" s="252"/>
      <c r="P283" s="285">
        <f t="shared" si="115"/>
        <v>0</v>
      </c>
      <c r="Q283" s="252"/>
      <c r="R283" s="252"/>
      <c r="S283" s="252"/>
      <c r="T283" s="252"/>
      <c r="U283" s="252"/>
      <c r="V283" s="238">
        <f t="shared" si="116"/>
        <v>223.44</v>
      </c>
      <c r="W283" s="227">
        <f t="shared" si="117"/>
        <v>2</v>
      </c>
      <c r="X283" s="237"/>
      <c r="Y283" s="237"/>
      <c r="Z283" s="237">
        <v>0.5</v>
      </c>
      <c r="AA283" s="237">
        <v>1.5</v>
      </c>
      <c r="AB283" s="237"/>
      <c r="AC283" s="286"/>
      <c r="AD283" s="239">
        <f t="shared" si="118"/>
        <v>0</v>
      </c>
      <c r="AE283" s="237"/>
      <c r="AF283" s="237"/>
      <c r="AG283" s="237"/>
      <c r="AH283" s="237"/>
      <c r="AI283" s="237"/>
      <c r="AJ283" s="239">
        <f t="shared" si="119"/>
        <v>0</v>
      </c>
      <c r="AK283" s="237"/>
      <c r="AL283" s="237"/>
      <c r="AM283" s="237"/>
      <c r="AN283" s="237"/>
      <c r="AO283" s="237"/>
      <c r="AP283" s="196">
        <v>220</v>
      </c>
      <c r="AQ283" s="334">
        <f t="shared" si="120"/>
        <v>1</v>
      </c>
      <c r="AR283" s="207" t="e">
        <f t="shared" si="121"/>
        <v>#DIV/0!</v>
      </c>
      <c r="AS283" s="196"/>
      <c r="AT283" s="196"/>
      <c r="AU283" s="273" t="str">
        <f t="shared" si="122"/>
        <v/>
      </c>
    </row>
    <row r="284" spans="1:47" hidden="1">
      <c r="A284" s="196">
        <v>6</v>
      </c>
      <c r="B284" s="279" t="s">
        <v>354</v>
      </c>
      <c r="C284" s="227">
        <f t="shared" si="112"/>
        <v>0.65</v>
      </c>
      <c r="D284" s="283"/>
      <c r="E284" s="284">
        <v>0.65</v>
      </c>
      <c r="F284" s="284"/>
      <c r="G284" s="284"/>
      <c r="H284" s="284"/>
      <c r="I284" s="227">
        <f t="shared" si="113"/>
        <v>0</v>
      </c>
      <c r="J284" s="285">
        <f t="shared" si="114"/>
        <v>0</v>
      </c>
      <c r="K284" s="252"/>
      <c r="L284" s="252"/>
      <c r="M284" s="252"/>
      <c r="N284" s="252"/>
      <c r="O284" s="252"/>
      <c r="P284" s="285">
        <f t="shared" si="115"/>
        <v>0</v>
      </c>
      <c r="Q284" s="252"/>
      <c r="R284" s="252"/>
      <c r="S284" s="252"/>
      <c r="T284" s="252"/>
      <c r="U284" s="252"/>
      <c r="V284" s="238">
        <f t="shared" si="116"/>
        <v>112.476</v>
      </c>
      <c r="W284" s="227">
        <f t="shared" si="117"/>
        <v>0.65</v>
      </c>
      <c r="X284" s="237"/>
      <c r="Y284" s="237">
        <v>0.65</v>
      </c>
      <c r="Z284" s="237"/>
      <c r="AA284" s="237"/>
      <c r="AB284" s="237"/>
      <c r="AC284" s="286"/>
      <c r="AD284" s="239">
        <f t="shared" si="118"/>
        <v>0</v>
      </c>
      <c r="AE284" s="237"/>
      <c r="AF284" s="237"/>
      <c r="AG284" s="237"/>
      <c r="AH284" s="237"/>
      <c r="AI284" s="237"/>
      <c r="AJ284" s="239">
        <f t="shared" si="119"/>
        <v>0</v>
      </c>
      <c r="AK284" s="237"/>
      <c r="AL284" s="237"/>
      <c r="AM284" s="237"/>
      <c r="AN284" s="237"/>
      <c r="AO284" s="237"/>
      <c r="AP284" s="196">
        <v>110</v>
      </c>
      <c r="AQ284" s="334">
        <f t="shared" si="120"/>
        <v>1</v>
      </c>
      <c r="AR284" s="207" t="e">
        <f t="shared" si="121"/>
        <v>#DIV/0!</v>
      </c>
      <c r="AS284" s="196"/>
      <c r="AT284" s="196"/>
      <c r="AU284" s="273" t="str">
        <f t="shared" si="122"/>
        <v/>
      </c>
    </row>
    <row r="285" spans="1:47" hidden="1">
      <c r="A285" s="196">
        <v>7</v>
      </c>
      <c r="B285" s="279" t="s">
        <v>355</v>
      </c>
      <c r="C285" s="227">
        <f t="shared" si="112"/>
        <v>1.9</v>
      </c>
      <c r="D285" s="283"/>
      <c r="E285" s="284">
        <v>0.6</v>
      </c>
      <c r="F285" s="284">
        <v>1.3</v>
      </c>
      <c r="G285" s="284"/>
      <c r="H285" s="284"/>
      <c r="I285" s="227">
        <f t="shared" si="113"/>
        <v>0</v>
      </c>
      <c r="J285" s="285">
        <f t="shared" si="114"/>
        <v>0</v>
      </c>
      <c r="K285" s="252"/>
      <c r="L285" s="252"/>
      <c r="M285" s="252"/>
      <c r="N285" s="252"/>
      <c r="O285" s="252"/>
      <c r="P285" s="285">
        <f t="shared" si="115"/>
        <v>0</v>
      </c>
      <c r="Q285" s="252"/>
      <c r="R285" s="252"/>
      <c r="S285" s="252"/>
      <c r="T285" s="252"/>
      <c r="U285" s="252"/>
      <c r="V285" s="238">
        <f t="shared" si="116"/>
        <v>249.06</v>
      </c>
      <c r="W285" s="227">
        <f t="shared" si="117"/>
        <v>1.8</v>
      </c>
      <c r="X285" s="237"/>
      <c r="Y285" s="237">
        <v>0.1</v>
      </c>
      <c r="Z285" s="237">
        <v>1.7</v>
      </c>
      <c r="AA285" s="237"/>
      <c r="AB285" s="237"/>
      <c r="AC285" s="286"/>
      <c r="AD285" s="239">
        <f t="shared" si="118"/>
        <v>0</v>
      </c>
      <c r="AE285" s="237"/>
      <c r="AF285" s="237"/>
      <c r="AG285" s="237"/>
      <c r="AH285" s="237"/>
      <c r="AI285" s="237"/>
      <c r="AJ285" s="239">
        <f t="shared" si="119"/>
        <v>0</v>
      </c>
      <c r="AK285" s="237"/>
      <c r="AL285" s="237"/>
      <c r="AM285" s="237"/>
      <c r="AN285" s="237"/>
      <c r="AO285" s="237"/>
      <c r="AP285" s="196">
        <v>220</v>
      </c>
      <c r="AQ285" s="334">
        <f t="shared" si="120"/>
        <v>0.94736842105263164</v>
      </c>
      <c r="AR285" s="207" t="e">
        <f t="shared" si="121"/>
        <v>#DIV/0!</v>
      </c>
      <c r="AS285" s="196"/>
      <c r="AT285" s="196"/>
      <c r="AU285" s="273" t="str">
        <f t="shared" si="122"/>
        <v/>
      </c>
    </row>
    <row r="286" spans="1:47" hidden="1">
      <c r="A286" s="196">
        <v>8</v>
      </c>
      <c r="B286" s="279" t="s">
        <v>356</v>
      </c>
      <c r="C286" s="227">
        <f t="shared" si="112"/>
        <v>1.8</v>
      </c>
      <c r="D286" s="283"/>
      <c r="E286" s="284">
        <v>0.4</v>
      </c>
      <c r="F286" s="284">
        <v>1.2</v>
      </c>
      <c r="G286" s="284">
        <v>0.2</v>
      </c>
      <c r="H286" s="284"/>
      <c r="I286" s="227">
        <f t="shared" si="113"/>
        <v>0</v>
      </c>
      <c r="J286" s="285">
        <f t="shared" si="114"/>
        <v>0</v>
      </c>
      <c r="K286" s="252"/>
      <c r="L286" s="252"/>
      <c r="M286" s="252"/>
      <c r="N286" s="252"/>
      <c r="O286" s="252"/>
      <c r="P286" s="285">
        <f t="shared" si="115"/>
        <v>0</v>
      </c>
      <c r="Q286" s="252"/>
      <c r="R286" s="252"/>
      <c r="S286" s="252"/>
      <c r="T286" s="252"/>
      <c r="U286" s="252"/>
      <c r="V286" s="238">
        <f t="shared" si="116"/>
        <v>225.62399999999997</v>
      </c>
      <c r="W286" s="227">
        <f t="shared" si="117"/>
        <v>1</v>
      </c>
      <c r="X286" s="237"/>
      <c r="Y286" s="237"/>
      <c r="Z286" s="237">
        <v>0.8</v>
      </c>
      <c r="AA286" s="237">
        <v>0.2</v>
      </c>
      <c r="AB286" s="237"/>
      <c r="AC286" s="286"/>
      <c r="AD286" s="239">
        <f t="shared" si="118"/>
        <v>0</v>
      </c>
      <c r="AE286" s="237"/>
      <c r="AF286" s="237"/>
      <c r="AG286" s="237"/>
      <c r="AH286" s="237"/>
      <c r="AI286" s="237"/>
      <c r="AJ286" s="239">
        <f t="shared" si="119"/>
        <v>0</v>
      </c>
      <c r="AK286" s="237"/>
      <c r="AL286" s="237"/>
      <c r="AM286" s="237"/>
      <c r="AN286" s="237"/>
      <c r="AO286" s="237"/>
      <c r="AP286" s="196">
        <v>118</v>
      </c>
      <c r="AQ286" s="334">
        <f t="shared" si="120"/>
        <v>0.55555555555555558</v>
      </c>
      <c r="AR286" s="207" t="e">
        <f t="shared" si="121"/>
        <v>#DIV/0!</v>
      </c>
      <c r="AS286" s="196"/>
      <c r="AT286" s="196"/>
      <c r="AU286" s="273" t="str">
        <f t="shared" si="122"/>
        <v/>
      </c>
    </row>
    <row r="287" spans="1:47" hidden="1">
      <c r="A287" s="196">
        <v>9</v>
      </c>
      <c r="B287" s="279" t="s">
        <v>357</v>
      </c>
      <c r="C287" s="227">
        <f t="shared" si="112"/>
        <v>2.2000000000000002</v>
      </c>
      <c r="D287" s="283"/>
      <c r="E287" s="284">
        <v>0.6</v>
      </c>
      <c r="F287" s="284">
        <v>1.6</v>
      </c>
      <c r="G287" s="284"/>
      <c r="H287" s="284"/>
      <c r="I287" s="227">
        <f t="shared" si="113"/>
        <v>0</v>
      </c>
      <c r="J287" s="285">
        <f t="shared" si="114"/>
        <v>0</v>
      </c>
      <c r="K287" s="252"/>
      <c r="L287" s="252"/>
      <c r="M287" s="252"/>
      <c r="N287" s="252"/>
      <c r="O287" s="252"/>
      <c r="P287" s="285">
        <f t="shared" si="115"/>
        <v>0</v>
      </c>
      <c r="Q287" s="252"/>
      <c r="R287" s="252"/>
      <c r="S287" s="252"/>
      <c r="T287" s="252"/>
      <c r="U287" s="252"/>
      <c r="V287" s="238">
        <f t="shared" si="116"/>
        <v>282.57600000000002</v>
      </c>
      <c r="W287" s="227">
        <f t="shared" si="117"/>
        <v>1.734</v>
      </c>
      <c r="X287" s="237"/>
      <c r="Y287" s="237">
        <v>0.36699999999999999</v>
      </c>
      <c r="Z287" s="237">
        <v>1.0169999999999999</v>
      </c>
      <c r="AA287" s="237">
        <v>0.35</v>
      </c>
      <c r="AB287" s="237"/>
      <c r="AC287" s="286"/>
      <c r="AD287" s="239">
        <f t="shared" si="118"/>
        <v>0</v>
      </c>
      <c r="AE287" s="237"/>
      <c r="AF287" s="237"/>
      <c r="AG287" s="237"/>
      <c r="AH287" s="237"/>
      <c r="AI287" s="237"/>
      <c r="AJ287" s="239">
        <f t="shared" si="119"/>
        <v>0</v>
      </c>
      <c r="AK287" s="237"/>
      <c r="AL287" s="237"/>
      <c r="AM287" s="237"/>
      <c r="AN287" s="237"/>
      <c r="AO287" s="237"/>
      <c r="AP287" s="196">
        <v>170</v>
      </c>
      <c r="AQ287" s="334">
        <f t="shared" si="120"/>
        <v>0.78818181818181809</v>
      </c>
      <c r="AR287" s="207" t="e">
        <f t="shared" si="121"/>
        <v>#DIV/0!</v>
      </c>
      <c r="AS287" s="196"/>
      <c r="AT287" s="196"/>
      <c r="AU287" s="273" t="str">
        <f t="shared" si="122"/>
        <v/>
      </c>
    </row>
    <row r="288" spans="1:47" hidden="1">
      <c r="A288" s="196">
        <v>10</v>
      </c>
      <c r="B288" s="279" t="s">
        <v>358</v>
      </c>
      <c r="C288" s="227">
        <f t="shared" si="112"/>
        <v>4</v>
      </c>
      <c r="D288" s="283"/>
      <c r="E288" s="284">
        <v>0.5</v>
      </c>
      <c r="F288" s="284">
        <v>3.5</v>
      </c>
      <c r="G288" s="284"/>
      <c r="H288" s="284"/>
      <c r="I288" s="227">
        <f t="shared" si="113"/>
        <v>0</v>
      </c>
      <c r="J288" s="285">
        <f t="shared" si="114"/>
        <v>0</v>
      </c>
      <c r="K288" s="252"/>
      <c r="L288" s="252"/>
      <c r="M288" s="252"/>
      <c r="N288" s="252"/>
      <c r="O288" s="252"/>
      <c r="P288" s="285">
        <f t="shared" si="115"/>
        <v>0</v>
      </c>
      <c r="Q288" s="252"/>
      <c r="R288" s="252"/>
      <c r="S288" s="252"/>
      <c r="T288" s="252"/>
      <c r="U288" s="252"/>
      <c r="V288" s="238">
        <f t="shared" si="116"/>
        <v>477.53999999999996</v>
      </c>
      <c r="W288" s="227">
        <f t="shared" si="117"/>
        <v>3.8</v>
      </c>
      <c r="X288" s="237"/>
      <c r="Y288" s="237"/>
      <c r="Z288" s="237">
        <v>3.8</v>
      </c>
      <c r="AA288" s="237"/>
      <c r="AB288" s="237"/>
      <c r="AC288" s="286"/>
      <c r="AD288" s="239">
        <f t="shared" si="118"/>
        <v>0</v>
      </c>
      <c r="AE288" s="237"/>
      <c r="AF288" s="237"/>
      <c r="AG288" s="237"/>
      <c r="AH288" s="237"/>
      <c r="AI288" s="237"/>
      <c r="AJ288" s="239">
        <f t="shared" si="119"/>
        <v>0</v>
      </c>
      <c r="AK288" s="237"/>
      <c r="AL288" s="237"/>
      <c r="AM288" s="237"/>
      <c r="AN288" s="237"/>
      <c r="AO288" s="237"/>
      <c r="AP288" s="196">
        <v>430</v>
      </c>
      <c r="AQ288" s="334">
        <f t="shared" si="120"/>
        <v>0.95</v>
      </c>
      <c r="AR288" s="207" t="e">
        <f t="shared" si="121"/>
        <v>#DIV/0!</v>
      </c>
      <c r="AS288" s="196"/>
      <c r="AT288" s="196"/>
      <c r="AU288" s="273" t="str">
        <f t="shared" si="122"/>
        <v/>
      </c>
    </row>
    <row r="289" spans="1:47" hidden="1">
      <c r="A289" s="196">
        <v>11</v>
      </c>
      <c r="B289" s="279" t="s">
        <v>359</v>
      </c>
      <c r="C289" s="227">
        <f t="shared" si="112"/>
        <v>0.8</v>
      </c>
      <c r="D289" s="283"/>
      <c r="E289" s="284"/>
      <c r="F289" s="284">
        <v>0.8</v>
      </c>
      <c r="G289" s="284"/>
      <c r="H289" s="284"/>
      <c r="I289" s="227">
        <f t="shared" si="113"/>
        <v>0</v>
      </c>
      <c r="J289" s="285">
        <f t="shared" si="114"/>
        <v>0</v>
      </c>
      <c r="K289" s="252"/>
      <c r="L289" s="252"/>
      <c r="M289" s="252"/>
      <c r="N289" s="252"/>
      <c r="O289" s="252"/>
      <c r="P289" s="285">
        <f t="shared" si="115"/>
        <v>0</v>
      </c>
      <c r="Q289" s="252"/>
      <c r="R289" s="252"/>
      <c r="S289" s="252"/>
      <c r="T289" s="252"/>
      <c r="U289" s="252"/>
      <c r="V289" s="238">
        <f t="shared" si="116"/>
        <v>89.376000000000005</v>
      </c>
      <c r="W289" s="227">
        <f t="shared" si="117"/>
        <v>0.8</v>
      </c>
      <c r="X289" s="237"/>
      <c r="Y289" s="237"/>
      <c r="Z289" s="237">
        <v>0.8</v>
      </c>
      <c r="AA289" s="237"/>
      <c r="AB289" s="237"/>
      <c r="AC289" s="286"/>
      <c r="AD289" s="239">
        <f t="shared" si="118"/>
        <v>0</v>
      </c>
      <c r="AE289" s="237"/>
      <c r="AF289" s="237"/>
      <c r="AG289" s="237"/>
      <c r="AH289" s="237"/>
      <c r="AI289" s="237"/>
      <c r="AJ289" s="239">
        <f t="shared" si="119"/>
        <v>0</v>
      </c>
      <c r="AK289" s="237"/>
      <c r="AL289" s="237"/>
      <c r="AM289" s="237"/>
      <c r="AN289" s="237"/>
      <c r="AO289" s="237"/>
      <c r="AP289" s="196">
        <v>90</v>
      </c>
      <c r="AQ289" s="334">
        <f t="shared" si="120"/>
        <v>1</v>
      </c>
      <c r="AR289" s="207" t="e">
        <f t="shared" si="121"/>
        <v>#DIV/0!</v>
      </c>
      <c r="AS289" s="196"/>
      <c r="AT289" s="196"/>
      <c r="AU289" s="273" t="str">
        <f t="shared" si="122"/>
        <v/>
      </c>
    </row>
    <row r="290" spans="1:47" hidden="1">
      <c r="A290" s="196">
        <v>12</v>
      </c>
      <c r="B290" s="279" t="s">
        <v>360</v>
      </c>
      <c r="C290" s="227">
        <f t="shared" si="112"/>
        <v>0.65</v>
      </c>
      <c r="D290" s="283"/>
      <c r="E290" s="284"/>
      <c r="F290" s="284">
        <v>0.5</v>
      </c>
      <c r="G290" s="284">
        <v>0.15</v>
      </c>
      <c r="H290" s="284"/>
      <c r="I290" s="227">
        <f t="shared" si="113"/>
        <v>0</v>
      </c>
      <c r="J290" s="285">
        <f t="shared" si="114"/>
        <v>0</v>
      </c>
      <c r="K290" s="252"/>
      <c r="L290" s="252"/>
      <c r="M290" s="252"/>
      <c r="N290" s="252"/>
      <c r="O290" s="252"/>
      <c r="P290" s="285">
        <f t="shared" si="115"/>
        <v>0</v>
      </c>
      <c r="Q290" s="252"/>
      <c r="R290" s="252"/>
      <c r="S290" s="252"/>
      <c r="T290" s="252"/>
      <c r="U290" s="252"/>
      <c r="V290" s="238">
        <f t="shared" si="116"/>
        <v>72.617999999999995</v>
      </c>
      <c r="W290" s="227">
        <f t="shared" si="117"/>
        <v>0.65</v>
      </c>
      <c r="X290" s="237"/>
      <c r="Y290" s="237"/>
      <c r="Z290" s="237">
        <v>0.5</v>
      </c>
      <c r="AA290" s="237">
        <v>0.15</v>
      </c>
      <c r="AB290" s="237"/>
      <c r="AC290" s="286"/>
      <c r="AD290" s="239">
        <f t="shared" si="118"/>
        <v>0</v>
      </c>
      <c r="AE290" s="237"/>
      <c r="AF290" s="237"/>
      <c r="AG290" s="237"/>
      <c r="AH290" s="237"/>
      <c r="AI290" s="237"/>
      <c r="AJ290" s="239">
        <f t="shared" si="119"/>
        <v>0</v>
      </c>
      <c r="AK290" s="237"/>
      <c r="AL290" s="237"/>
      <c r="AM290" s="237"/>
      <c r="AN290" s="237"/>
      <c r="AO290" s="237"/>
      <c r="AP290" s="196">
        <v>70</v>
      </c>
      <c r="AQ290" s="334">
        <f t="shared" si="120"/>
        <v>1</v>
      </c>
      <c r="AR290" s="207" t="e">
        <f t="shared" si="121"/>
        <v>#DIV/0!</v>
      </c>
      <c r="AS290" s="196"/>
      <c r="AT290" s="196"/>
      <c r="AU290" s="273" t="str">
        <f t="shared" si="122"/>
        <v/>
      </c>
    </row>
    <row r="291" spans="1:47" hidden="1">
      <c r="A291" s="196">
        <v>13</v>
      </c>
      <c r="B291" s="279" t="s">
        <v>361</v>
      </c>
      <c r="C291" s="227">
        <f t="shared" si="112"/>
        <v>4</v>
      </c>
      <c r="D291" s="283">
        <v>0.9</v>
      </c>
      <c r="E291" s="284">
        <v>0.9</v>
      </c>
      <c r="F291" s="284">
        <v>2.2000000000000002</v>
      </c>
      <c r="G291" s="284"/>
      <c r="H291" s="284"/>
      <c r="I291" s="227">
        <f t="shared" si="113"/>
        <v>1.7000000000000002</v>
      </c>
      <c r="J291" s="285">
        <f t="shared" si="114"/>
        <v>0.6</v>
      </c>
      <c r="K291" s="252"/>
      <c r="L291" s="252"/>
      <c r="M291" s="252">
        <v>0.6</v>
      </c>
      <c r="N291" s="252"/>
      <c r="O291" s="252"/>
      <c r="P291" s="285">
        <f t="shared" si="115"/>
        <v>1.1000000000000001</v>
      </c>
      <c r="Q291" s="252"/>
      <c r="R291" s="252"/>
      <c r="S291" s="252">
        <v>1.1000000000000001</v>
      </c>
      <c r="T291" s="252"/>
      <c r="U291" s="252"/>
      <c r="V291" s="238">
        <f t="shared" si="116"/>
        <v>709.60399999999993</v>
      </c>
      <c r="W291" s="227">
        <f t="shared" si="117"/>
        <v>3.2</v>
      </c>
      <c r="X291" s="237">
        <v>0.4</v>
      </c>
      <c r="Y291" s="237">
        <v>1</v>
      </c>
      <c r="Z291" s="237">
        <v>1.8</v>
      </c>
      <c r="AA291" s="237"/>
      <c r="AB291" s="237"/>
      <c r="AC291" s="286">
        <v>1.6</v>
      </c>
      <c r="AD291" s="239">
        <f t="shared" si="118"/>
        <v>0.5</v>
      </c>
      <c r="AE291" s="237"/>
      <c r="AF291" s="237"/>
      <c r="AG291" s="237">
        <v>0.5</v>
      </c>
      <c r="AH291" s="237"/>
      <c r="AI291" s="237"/>
      <c r="AJ291" s="239">
        <f t="shared" si="119"/>
        <v>1.1000000000000001</v>
      </c>
      <c r="AK291" s="237"/>
      <c r="AL291" s="237"/>
      <c r="AM291" s="237">
        <v>1.1000000000000001</v>
      </c>
      <c r="AN291" s="237"/>
      <c r="AO291" s="237"/>
      <c r="AP291" s="196">
        <v>540</v>
      </c>
      <c r="AQ291" s="334">
        <f t="shared" si="120"/>
        <v>0.8</v>
      </c>
      <c r="AR291" s="207">
        <f t="shared" si="121"/>
        <v>0.94117647058823528</v>
      </c>
      <c r="AS291" s="196"/>
      <c r="AT291" s="196"/>
      <c r="AU291" s="273" t="str">
        <f t="shared" si="122"/>
        <v/>
      </c>
    </row>
    <row r="292" spans="1:47" hidden="1">
      <c r="A292" s="196">
        <v>14</v>
      </c>
      <c r="B292" s="279" t="s">
        <v>362</v>
      </c>
      <c r="C292" s="227">
        <f t="shared" si="112"/>
        <v>1.4</v>
      </c>
      <c r="D292" s="283"/>
      <c r="E292" s="284"/>
      <c r="F292" s="284">
        <v>0.8</v>
      </c>
      <c r="G292" s="284">
        <v>0.6</v>
      </c>
      <c r="H292" s="284"/>
      <c r="I292" s="227">
        <f t="shared" si="113"/>
        <v>0</v>
      </c>
      <c r="J292" s="285">
        <f t="shared" si="114"/>
        <v>0</v>
      </c>
      <c r="K292" s="252"/>
      <c r="L292" s="252"/>
      <c r="M292" s="252"/>
      <c r="N292" s="252"/>
      <c r="O292" s="252"/>
      <c r="P292" s="285">
        <f t="shared" si="115"/>
        <v>0</v>
      </c>
      <c r="Q292" s="252"/>
      <c r="R292" s="252"/>
      <c r="S292" s="252"/>
      <c r="T292" s="252"/>
      <c r="U292" s="252"/>
      <c r="V292" s="238">
        <f t="shared" si="116"/>
        <v>156.40800000000002</v>
      </c>
      <c r="W292" s="227">
        <f t="shared" si="117"/>
        <v>1.8</v>
      </c>
      <c r="X292" s="237"/>
      <c r="Y292" s="237"/>
      <c r="Z292" s="237">
        <v>1.3</v>
      </c>
      <c r="AA292" s="237">
        <v>0.5</v>
      </c>
      <c r="AB292" s="237"/>
      <c r="AC292" s="286"/>
      <c r="AD292" s="239">
        <f t="shared" si="118"/>
        <v>0</v>
      </c>
      <c r="AE292" s="237"/>
      <c r="AF292" s="237"/>
      <c r="AG292" s="237"/>
      <c r="AH292" s="237"/>
      <c r="AI292" s="237"/>
      <c r="AJ292" s="239">
        <f t="shared" si="119"/>
        <v>0</v>
      </c>
      <c r="AK292" s="237"/>
      <c r="AL292" s="237"/>
      <c r="AM292" s="237"/>
      <c r="AN292" s="237"/>
      <c r="AO292" s="237"/>
      <c r="AP292" s="196">
        <v>240</v>
      </c>
      <c r="AQ292" s="334">
        <f t="shared" si="120"/>
        <v>1.2857142857142858</v>
      </c>
      <c r="AR292" s="207" t="e">
        <f t="shared" si="121"/>
        <v>#DIV/0!</v>
      </c>
      <c r="AS292" s="196"/>
      <c r="AT292" s="196"/>
      <c r="AU292" s="273" t="str">
        <f t="shared" si="122"/>
        <v/>
      </c>
    </row>
    <row r="293" spans="1:47" hidden="1">
      <c r="A293" s="196">
        <v>15</v>
      </c>
      <c r="B293" s="279" t="s">
        <v>363</v>
      </c>
      <c r="C293" s="227">
        <f t="shared" si="112"/>
        <v>0.4</v>
      </c>
      <c r="D293" s="283"/>
      <c r="E293" s="284"/>
      <c r="F293" s="284">
        <v>0.4</v>
      </c>
      <c r="G293" s="284"/>
      <c r="H293" s="284"/>
      <c r="I293" s="227">
        <f t="shared" si="113"/>
        <v>0</v>
      </c>
      <c r="J293" s="285">
        <f t="shared" si="114"/>
        <v>0</v>
      </c>
      <c r="K293" s="252"/>
      <c r="L293" s="252"/>
      <c r="M293" s="252"/>
      <c r="N293" s="252"/>
      <c r="O293" s="252"/>
      <c r="P293" s="285">
        <f t="shared" si="115"/>
        <v>0</v>
      </c>
      <c r="Q293" s="252"/>
      <c r="R293" s="252"/>
      <c r="S293" s="252"/>
      <c r="T293" s="252"/>
      <c r="U293" s="252"/>
      <c r="V293" s="238">
        <f t="shared" si="116"/>
        <v>44.688000000000002</v>
      </c>
      <c r="W293" s="227">
        <f t="shared" si="117"/>
        <v>0.4</v>
      </c>
      <c r="X293" s="237"/>
      <c r="Y293" s="237"/>
      <c r="Z293" s="237">
        <v>0.4</v>
      </c>
      <c r="AA293" s="237"/>
      <c r="AB293" s="237"/>
      <c r="AC293" s="286"/>
      <c r="AD293" s="239">
        <f t="shared" si="118"/>
        <v>0</v>
      </c>
      <c r="AE293" s="237"/>
      <c r="AF293" s="237"/>
      <c r="AG293" s="237"/>
      <c r="AH293" s="237"/>
      <c r="AI293" s="237"/>
      <c r="AJ293" s="239">
        <f t="shared" si="119"/>
        <v>0</v>
      </c>
      <c r="AK293" s="237"/>
      <c r="AL293" s="237"/>
      <c r="AM293" s="237"/>
      <c r="AN293" s="237"/>
      <c r="AO293" s="237"/>
      <c r="AP293" s="196">
        <v>45</v>
      </c>
      <c r="AQ293" s="334">
        <f t="shared" si="120"/>
        <v>1</v>
      </c>
      <c r="AR293" s="207" t="e">
        <f t="shared" si="121"/>
        <v>#DIV/0!</v>
      </c>
      <c r="AS293" s="196"/>
      <c r="AT293" s="196"/>
      <c r="AU293" s="273" t="str">
        <f t="shared" si="122"/>
        <v/>
      </c>
    </row>
    <row r="294" spans="1:47" hidden="1">
      <c r="A294" s="196">
        <v>16</v>
      </c>
      <c r="B294" s="279" t="s">
        <v>364</v>
      </c>
      <c r="C294" s="227">
        <f t="shared" si="112"/>
        <v>0.7</v>
      </c>
      <c r="D294" s="283"/>
      <c r="E294" s="284">
        <v>0.4</v>
      </c>
      <c r="F294" s="284">
        <v>0.3</v>
      </c>
      <c r="G294" s="284"/>
      <c r="H294" s="284"/>
      <c r="I294" s="227">
        <f t="shared" si="113"/>
        <v>0</v>
      </c>
      <c r="J294" s="285">
        <f t="shared" si="114"/>
        <v>0</v>
      </c>
      <c r="K294" s="252"/>
      <c r="L294" s="252"/>
      <c r="M294" s="252"/>
      <c r="N294" s="252"/>
      <c r="O294" s="252"/>
      <c r="P294" s="285">
        <f t="shared" si="115"/>
        <v>0</v>
      </c>
      <c r="Q294" s="252"/>
      <c r="R294" s="252"/>
      <c r="S294" s="252"/>
      <c r="T294" s="252"/>
      <c r="U294" s="252"/>
      <c r="V294" s="238">
        <f t="shared" si="116"/>
        <v>102.732</v>
      </c>
      <c r="W294" s="227">
        <f t="shared" si="117"/>
        <v>0.2</v>
      </c>
      <c r="X294" s="237"/>
      <c r="Y294" s="237"/>
      <c r="Z294" s="237">
        <v>0.2</v>
      </c>
      <c r="AA294" s="237"/>
      <c r="AB294" s="237"/>
      <c r="AC294" s="286"/>
      <c r="AD294" s="239">
        <f t="shared" si="118"/>
        <v>0</v>
      </c>
      <c r="AE294" s="237"/>
      <c r="AF294" s="237"/>
      <c r="AG294" s="237"/>
      <c r="AH294" s="237"/>
      <c r="AI294" s="237"/>
      <c r="AJ294" s="239">
        <f t="shared" si="119"/>
        <v>0</v>
      </c>
      <c r="AK294" s="237"/>
      <c r="AL294" s="237"/>
      <c r="AM294" s="237"/>
      <c r="AN294" s="237"/>
      <c r="AO294" s="237"/>
      <c r="AP294" s="196">
        <v>30</v>
      </c>
      <c r="AQ294" s="334">
        <f t="shared" si="120"/>
        <v>0.28571428571428575</v>
      </c>
      <c r="AR294" s="207" t="e">
        <f t="shared" si="121"/>
        <v>#DIV/0!</v>
      </c>
      <c r="AS294" s="196"/>
      <c r="AT294" s="196"/>
      <c r="AU294" s="273" t="str">
        <f t="shared" si="122"/>
        <v/>
      </c>
    </row>
    <row r="295" spans="1:47" hidden="1">
      <c r="A295" s="196">
        <v>17</v>
      </c>
      <c r="B295" s="279" t="s">
        <v>365</v>
      </c>
      <c r="C295" s="227">
        <f t="shared" si="112"/>
        <v>1.1000000000000001</v>
      </c>
      <c r="D295" s="283"/>
      <c r="E295" s="284"/>
      <c r="F295" s="284">
        <v>1.1000000000000001</v>
      </c>
      <c r="G295" s="284"/>
      <c r="H295" s="284"/>
      <c r="I295" s="227">
        <f t="shared" si="113"/>
        <v>0.2</v>
      </c>
      <c r="J295" s="285">
        <f t="shared" si="114"/>
        <v>0</v>
      </c>
      <c r="K295" s="252"/>
      <c r="L295" s="252"/>
      <c r="M295" s="252"/>
      <c r="N295" s="252"/>
      <c r="O295" s="252"/>
      <c r="P295" s="285">
        <f t="shared" si="115"/>
        <v>0.2</v>
      </c>
      <c r="Q295" s="252"/>
      <c r="R295" s="252"/>
      <c r="S295" s="252">
        <v>0.2</v>
      </c>
      <c r="T295" s="252"/>
      <c r="U295" s="252"/>
      <c r="V295" s="238">
        <f t="shared" si="116"/>
        <v>137.83520000000001</v>
      </c>
      <c r="W295" s="227">
        <f t="shared" si="117"/>
        <v>1.4</v>
      </c>
      <c r="X295" s="237"/>
      <c r="Y295" s="237"/>
      <c r="Z295" s="237">
        <v>1.4</v>
      </c>
      <c r="AA295" s="237"/>
      <c r="AB295" s="237"/>
      <c r="AC295" s="286">
        <v>0.28999999999999998</v>
      </c>
      <c r="AD295" s="239">
        <f t="shared" si="118"/>
        <v>0.29000000000000004</v>
      </c>
      <c r="AE295" s="237">
        <v>0.2</v>
      </c>
      <c r="AF295" s="237"/>
      <c r="AG295" s="237"/>
      <c r="AH295" s="237">
        <v>0.09</v>
      </c>
      <c r="AI295" s="237"/>
      <c r="AJ295" s="239">
        <f t="shared" si="119"/>
        <v>0</v>
      </c>
      <c r="AK295" s="237"/>
      <c r="AL295" s="237"/>
      <c r="AM295" s="237"/>
      <c r="AN295" s="237"/>
      <c r="AO295" s="237"/>
      <c r="AP295" s="196">
        <v>171</v>
      </c>
      <c r="AQ295" s="334">
        <f t="shared" si="120"/>
        <v>1.2727272727272725</v>
      </c>
      <c r="AR295" s="207">
        <f t="shared" si="121"/>
        <v>1.4499999999999997</v>
      </c>
      <c r="AS295" s="196"/>
      <c r="AT295" s="196"/>
      <c r="AU295" s="273" t="str">
        <f t="shared" si="122"/>
        <v/>
      </c>
    </row>
    <row r="296" spans="1:47" hidden="1">
      <c r="A296" s="196">
        <v>18</v>
      </c>
      <c r="B296" s="279" t="s">
        <v>366</v>
      </c>
      <c r="C296" s="227">
        <f t="shared" si="112"/>
        <v>8.6999999999999993</v>
      </c>
      <c r="D296" s="283">
        <v>2.2000000000000002</v>
      </c>
      <c r="E296" s="284">
        <v>1.8</v>
      </c>
      <c r="F296" s="284">
        <v>4.7</v>
      </c>
      <c r="G296" s="284"/>
      <c r="H296" s="284"/>
      <c r="I296" s="227">
        <f t="shared" si="113"/>
        <v>0.5</v>
      </c>
      <c r="J296" s="285">
        <f t="shared" si="114"/>
        <v>0.5</v>
      </c>
      <c r="K296" s="252"/>
      <c r="L296" s="252"/>
      <c r="M296" s="252">
        <v>0.5</v>
      </c>
      <c r="N296" s="252"/>
      <c r="O296" s="252"/>
      <c r="P296" s="285">
        <f t="shared" si="115"/>
        <v>0</v>
      </c>
      <c r="Q296" s="252"/>
      <c r="R296" s="252"/>
      <c r="S296" s="252"/>
      <c r="T296" s="252"/>
      <c r="U296" s="252"/>
      <c r="V296" s="238">
        <f t="shared" si="116"/>
        <v>1307.0744999999999</v>
      </c>
      <c r="W296" s="227">
        <f t="shared" si="117"/>
        <v>8.6000000000000014</v>
      </c>
      <c r="X296" s="237">
        <v>2.2000000000000002</v>
      </c>
      <c r="Y296" s="237">
        <v>1.2</v>
      </c>
      <c r="Z296" s="237">
        <v>5.2</v>
      </c>
      <c r="AA296" s="237"/>
      <c r="AB296" s="237"/>
      <c r="AC296" s="286">
        <v>0.4</v>
      </c>
      <c r="AD296" s="239">
        <f t="shared" si="118"/>
        <v>0.1</v>
      </c>
      <c r="AE296" s="237"/>
      <c r="AF296" s="237"/>
      <c r="AG296" s="237"/>
      <c r="AH296" s="237">
        <v>0.1</v>
      </c>
      <c r="AI296" s="237"/>
      <c r="AJ296" s="239">
        <f t="shared" si="119"/>
        <v>0</v>
      </c>
      <c r="AK296" s="237"/>
      <c r="AL296" s="237"/>
      <c r="AM296" s="237"/>
      <c r="AN296" s="237"/>
      <c r="AO296" s="237"/>
      <c r="AP296" s="196">
        <v>1370</v>
      </c>
      <c r="AQ296" s="334">
        <f t="shared" si="120"/>
        <v>0.98850574712643702</v>
      </c>
      <c r="AR296" s="207">
        <f t="shared" si="121"/>
        <v>0.8</v>
      </c>
      <c r="AS296" s="196"/>
      <c r="AT296" s="196"/>
      <c r="AU296" s="273" t="str">
        <f t="shared" si="122"/>
        <v/>
      </c>
    </row>
    <row r="297" spans="1:47" hidden="1">
      <c r="A297" s="196">
        <v>19</v>
      </c>
      <c r="B297" s="279" t="s">
        <v>367</v>
      </c>
      <c r="C297" s="227">
        <f t="shared" si="112"/>
        <v>0.7</v>
      </c>
      <c r="D297" s="283"/>
      <c r="E297" s="284">
        <v>0.4</v>
      </c>
      <c r="F297" s="284">
        <v>0.3</v>
      </c>
      <c r="G297" s="284"/>
      <c r="H297" s="284"/>
      <c r="I297" s="227">
        <f t="shared" si="113"/>
        <v>0</v>
      </c>
      <c r="J297" s="285">
        <f t="shared" si="114"/>
        <v>0</v>
      </c>
      <c r="K297" s="252"/>
      <c r="L297" s="252"/>
      <c r="M297" s="252"/>
      <c r="N297" s="252"/>
      <c r="O297" s="252"/>
      <c r="P297" s="285">
        <f t="shared" si="115"/>
        <v>0</v>
      </c>
      <c r="Q297" s="252"/>
      <c r="R297" s="252"/>
      <c r="S297" s="252"/>
      <c r="T297" s="252"/>
      <c r="U297" s="252"/>
      <c r="V297" s="238">
        <f t="shared" si="116"/>
        <v>102.732</v>
      </c>
      <c r="W297" s="227">
        <f t="shared" si="117"/>
        <v>0.4</v>
      </c>
      <c r="X297" s="237"/>
      <c r="Y297" s="237">
        <v>0.3</v>
      </c>
      <c r="Z297" s="237">
        <v>0.1</v>
      </c>
      <c r="AA297" s="237"/>
      <c r="AB297" s="237"/>
      <c r="AC297" s="286"/>
      <c r="AD297" s="239">
        <f t="shared" si="118"/>
        <v>0</v>
      </c>
      <c r="AE297" s="237"/>
      <c r="AF297" s="237"/>
      <c r="AG297" s="237"/>
      <c r="AH297" s="237"/>
      <c r="AI297" s="237"/>
      <c r="AJ297" s="239">
        <f t="shared" si="119"/>
        <v>0</v>
      </c>
      <c r="AK297" s="237"/>
      <c r="AL297" s="237"/>
      <c r="AM297" s="237"/>
      <c r="AN297" s="237"/>
      <c r="AO297" s="237"/>
      <c r="AP297" s="196">
        <v>65</v>
      </c>
      <c r="AQ297" s="334">
        <f t="shared" si="120"/>
        <v>0.57142857142857151</v>
      </c>
      <c r="AR297" s="207" t="e">
        <f t="shared" si="121"/>
        <v>#DIV/0!</v>
      </c>
      <c r="AS297" s="196"/>
      <c r="AT297" s="196"/>
      <c r="AU297" s="273" t="str">
        <f t="shared" si="122"/>
        <v/>
      </c>
    </row>
    <row r="298" spans="1:47" hidden="1">
      <c r="A298" s="196">
        <v>20</v>
      </c>
      <c r="B298" s="279" t="s">
        <v>368</v>
      </c>
      <c r="C298" s="227">
        <f t="shared" si="112"/>
        <v>0.9</v>
      </c>
      <c r="D298" s="283"/>
      <c r="E298" s="284"/>
      <c r="F298" s="284">
        <v>0.9</v>
      </c>
      <c r="G298" s="284"/>
      <c r="H298" s="284"/>
      <c r="I298" s="227">
        <f t="shared" si="113"/>
        <v>0</v>
      </c>
      <c r="J298" s="285">
        <f t="shared" si="114"/>
        <v>0</v>
      </c>
      <c r="K298" s="252"/>
      <c r="L298" s="252"/>
      <c r="M298" s="252"/>
      <c r="N298" s="252"/>
      <c r="O298" s="252"/>
      <c r="P298" s="285">
        <f t="shared" si="115"/>
        <v>0</v>
      </c>
      <c r="Q298" s="252"/>
      <c r="R298" s="252"/>
      <c r="S298" s="252"/>
      <c r="T298" s="252"/>
      <c r="U298" s="252"/>
      <c r="V298" s="238">
        <f t="shared" si="116"/>
        <v>100.548</v>
      </c>
      <c r="W298" s="227">
        <f t="shared" si="117"/>
        <v>0.89</v>
      </c>
      <c r="X298" s="237"/>
      <c r="Y298" s="237"/>
      <c r="Z298" s="237">
        <v>0.89</v>
      </c>
      <c r="AA298" s="237"/>
      <c r="AB298" s="237"/>
      <c r="AC298" s="286"/>
      <c r="AD298" s="239">
        <f t="shared" si="118"/>
        <v>0</v>
      </c>
      <c r="AE298" s="237"/>
      <c r="AF298" s="237"/>
      <c r="AG298" s="237"/>
      <c r="AH298" s="237"/>
      <c r="AI298" s="237"/>
      <c r="AJ298" s="239">
        <f t="shared" si="119"/>
        <v>0</v>
      </c>
      <c r="AK298" s="237"/>
      <c r="AL298" s="237"/>
      <c r="AM298" s="237"/>
      <c r="AN298" s="237"/>
      <c r="AO298" s="237"/>
      <c r="AP298" s="196">
        <v>99</v>
      </c>
      <c r="AQ298" s="334">
        <f t="shared" si="120"/>
        <v>0.98888888888888893</v>
      </c>
      <c r="AR298" s="207" t="e">
        <f t="shared" si="121"/>
        <v>#DIV/0!</v>
      </c>
      <c r="AS298" s="196"/>
      <c r="AT298" s="196"/>
      <c r="AU298" s="273" t="str">
        <f t="shared" si="122"/>
        <v/>
      </c>
    </row>
    <row r="299" spans="1:47" hidden="1">
      <c r="A299" s="196">
        <v>21</v>
      </c>
      <c r="B299" s="279" t="s">
        <v>369</v>
      </c>
      <c r="C299" s="227">
        <f t="shared" si="112"/>
        <v>2.4000000000000004</v>
      </c>
      <c r="D299" s="283"/>
      <c r="E299" s="284">
        <v>0.3</v>
      </c>
      <c r="F299" s="284">
        <v>1.1000000000000001</v>
      </c>
      <c r="G299" s="284">
        <v>1</v>
      </c>
      <c r="H299" s="284"/>
      <c r="I299" s="227">
        <f t="shared" si="113"/>
        <v>0</v>
      </c>
      <c r="J299" s="285">
        <f t="shared" si="114"/>
        <v>0</v>
      </c>
      <c r="K299" s="252"/>
      <c r="L299" s="252"/>
      <c r="M299" s="252"/>
      <c r="N299" s="252"/>
      <c r="O299" s="252"/>
      <c r="P299" s="285">
        <f t="shared" si="115"/>
        <v>0</v>
      </c>
      <c r="Q299" s="252"/>
      <c r="R299" s="252"/>
      <c r="S299" s="252"/>
      <c r="T299" s="252"/>
      <c r="U299" s="252"/>
      <c r="V299" s="238">
        <f t="shared" si="116"/>
        <v>286.524</v>
      </c>
      <c r="W299" s="227">
        <f t="shared" si="117"/>
        <v>1.9</v>
      </c>
      <c r="X299" s="237"/>
      <c r="Y299" s="237"/>
      <c r="Z299" s="237">
        <v>0.9</v>
      </c>
      <c r="AA299" s="237">
        <v>1</v>
      </c>
      <c r="AB299" s="237"/>
      <c r="AC299" s="286"/>
      <c r="AD299" s="239">
        <f t="shared" si="118"/>
        <v>0</v>
      </c>
      <c r="AE299" s="237"/>
      <c r="AF299" s="237"/>
      <c r="AG299" s="237"/>
      <c r="AH299" s="237"/>
      <c r="AI299" s="237"/>
      <c r="AJ299" s="239">
        <f t="shared" si="119"/>
        <v>0</v>
      </c>
      <c r="AK299" s="237"/>
      <c r="AL299" s="237"/>
      <c r="AM299" s="237"/>
      <c r="AN299" s="237"/>
      <c r="AO299" s="237"/>
      <c r="AP299" s="196">
        <v>146</v>
      </c>
      <c r="AQ299" s="334">
        <f t="shared" si="120"/>
        <v>0.79166666666666652</v>
      </c>
      <c r="AR299" s="207" t="e">
        <f t="shared" si="121"/>
        <v>#DIV/0!</v>
      </c>
      <c r="AS299" s="196"/>
      <c r="AT299" s="196"/>
      <c r="AU299" s="273" t="str">
        <f t="shared" si="122"/>
        <v/>
      </c>
    </row>
    <row r="300" spans="1:47" hidden="1">
      <c r="A300" s="196">
        <v>22</v>
      </c>
      <c r="B300" s="279" t="s">
        <v>370</v>
      </c>
      <c r="C300" s="227">
        <f t="shared" si="112"/>
        <v>2.4000000000000004</v>
      </c>
      <c r="D300" s="283"/>
      <c r="E300" s="284">
        <v>0.5</v>
      </c>
      <c r="F300" s="284">
        <v>1.1000000000000001</v>
      </c>
      <c r="G300" s="284">
        <v>0.8</v>
      </c>
      <c r="H300" s="284"/>
      <c r="I300" s="227">
        <f t="shared" si="113"/>
        <v>0</v>
      </c>
      <c r="J300" s="285">
        <f t="shared" si="114"/>
        <v>0</v>
      </c>
      <c r="K300" s="252"/>
      <c r="L300" s="252"/>
      <c r="M300" s="252"/>
      <c r="N300" s="252"/>
      <c r="O300" s="252"/>
      <c r="P300" s="285">
        <f t="shared" si="115"/>
        <v>0</v>
      </c>
      <c r="Q300" s="252"/>
      <c r="R300" s="252"/>
      <c r="S300" s="252"/>
      <c r="T300" s="252"/>
      <c r="U300" s="252"/>
      <c r="V300" s="238">
        <f t="shared" si="116"/>
        <v>298.78800000000001</v>
      </c>
      <c r="W300" s="227">
        <f t="shared" si="117"/>
        <v>2.6349999999999998</v>
      </c>
      <c r="X300" s="237"/>
      <c r="Y300" s="237"/>
      <c r="Z300" s="237">
        <v>1.24</v>
      </c>
      <c r="AA300" s="237">
        <v>1.395</v>
      </c>
      <c r="AB300" s="237"/>
      <c r="AC300" s="286"/>
      <c r="AD300" s="239">
        <f t="shared" si="118"/>
        <v>0</v>
      </c>
      <c r="AE300" s="237"/>
      <c r="AF300" s="237"/>
      <c r="AG300" s="237"/>
      <c r="AH300" s="237"/>
      <c r="AI300" s="237"/>
      <c r="AJ300" s="239">
        <f t="shared" si="119"/>
        <v>0</v>
      </c>
      <c r="AK300" s="237"/>
      <c r="AL300" s="237"/>
      <c r="AM300" s="237"/>
      <c r="AN300" s="237"/>
      <c r="AO300" s="237"/>
      <c r="AP300" s="196">
        <v>291.39999999999998</v>
      </c>
      <c r="AQ300" s="334">
        <f t="shared" si="120"/>
        <v>1.0979166666666664</v>
      </c>
      <c r="AR300" s="207" t="e">
        <f t="shared" si="121"/>
        <v>#DIV/0!</v>
      </c>
      <c r="AS300" s="196"/>
      <c r="AT300" s="196"/>
      <c r="AU300" s="273" t="str">
        <f t="shared" si="122"/>
        <v/>
      </c>
    </row>
    <row r="301" spans="1:47" hidden="1">
      <c r="A301" s="196">
        <v>23</v>
      </c>
      <c r="B301" s="279" t="s">
        <v>371</v>
      </c>
      <c r="C301" s="227">
        <f t="shared" si="112"/>
        <v>1.5</v>
      </c>
      <c r="D301" s="283"/>
      <c r="E301" s="284"/>
      <c r="F301" s="284">
        <v>1.5</v>
      </c>
      <c r="G301" s="284"/>
      <c r="H301" s="284"/>
      <c r="I301" s="227">
        <f t="shared" si="113"/>
        <v>0</v>
      </c>
      <c r="J301" s="285">
        <f t="shared" si="114"/>
        <v>0</v>
      </c>
      <c r="K301" s="252"/>
      <c r="L301" s="252"/>
      <c r="M301" s="252"/>
      <c r="N301" s="252"/>
      <c r="O301" s="252"/>
      <c r="P301" s="285">
        <f t="shared" si="115"/>
        <v>0</v>
      </c>
      <c r="Q301" s="252"/>
      <c r="R301" s="252"/>
      <c r="S301" s="252"/>
      <c r="T301" s="252"/>
      <c r="U301" s="252"/>
      <c r="V301" s="238">
        <f t="shared" si="116"/>
        <v>167.57999999999998</v>
      </c>
      <c r="W301" s="227">
        <f t="shared" si="117"/>
        <v>1.9</v>
      </c>
      <c r="X301" s="237"/>
      <c r="Y301" s="237"/>
      <c r="Z301" s="237">
        <v>1.9</v>
      </c>
      <c r="AA301" s="237"/>
      <c r="AB301" s="237"/>
      <c r="AC301" s="286"/>
      <c r="AD301" s="239">
        <f t="shared" si="118"/>
        <v>0</v>
      </c>
      <c r="AE301" s="237"/>
      <c r="AF301" s="237"/>
      <c r="AG301" s="237"/>
      <c r="AH301" s="237"/>
      <c r="AI301" s="237"/>
      <c r="AJ301" s="239">
        <f t="shared" si="119"/>
        <v>0</v>
      </c>
      <c r="AK301" s="237"/>
      <c r="AL301" s="237"/>
      <c r="AM301" s="237"/>
      <c r="AN301" s="237"/>
      <c r="AO301" s="237"/>
      <c r="AP301" s="196">
        <v>210</v>
      </c>
      <c r="AQ301" s="334">
        <f t="shared" si="120"/>
        <v>1.2666666666666666</v>
      </c>
      <c r="AR301" s="207" t="e">
        <f t="shared" si="121"/>
        <v>#DIV/0!</v>
      </c>
      <c r="AS301" s="196"/>
      <c r="AT301" s="196"/>
      <c r="AU301" s="273" t="str">
        <f t="shared" si="122"/>
        <v/>
      </c>
    </row>
    <row r="302" spans="1:47" hidden="1">
      <c r="A302" s="196">
        <v>24</v>
      </c>
      <c r="B302" s="279" t="s">
        <v>372</v>
      </c>
      <c r="C302" s="227">
        <f t="shared" si="112"/>
        <v>0.5</v>
      </c>
      <c r="D302" s="283"/>
      <c r="E302" s="284"/>
      <c r="F302" s="284">
        <v>0.5</v>
      </c>
      <c r="G302" s="284"/>
      <c r="H302" s="284"/>
      <c r="I302" s="227">
        <f t="shared" si="113"/>
        <v>1.9</v>
      </c>
      <c r="J302" s="285">
        <f t="shared" si="114"/>
        <v>1.4</v>
      </c>
      <c r="K302" s="252"/>
      <c r="L302" s="252"/>
      <c r="M302" s="252">
        <v>1.4</v>
      </c>
      <c r="N302" s="252"/>
      <c r="O302" s="252"/>
      <c r="P302" s="285">
        <f t="shared" si="115"/>
        <v>0.5</v>
      </c>
      <c r="Q302" s="252"/>
      <c r="R302" s="252"/>
      <c r="S302" s="252">
        <v>0.5</v>
      </c>
      <c r="T302" s="252"/>
      <c r="U302" s="252"/>
      <c r="V302" s="238">
        <f t="shared" si="116"/>
        <v>211.5026</v>
      </c>
      <c r="W302" s="227">
        <f t="shared" si="117"/>
        <v>0.5</v>
      </c>
      <c r="X302" s="237"/>
      <c r="Y302" s="237"/>
      <c r="Z302" s="237">
        <v>0.5</v>
      </c>
      <c r="AA302" s="237"/>
      <c r="AB302" s="237"/>
      <c r="AC302" s="286">
        <v>1.8</v>
      </c>
      <c r="AD302" s="239">
        <f t="shared" si="118"/>
        <v>1.4</v>
      </c>
      <c r="AE302" s="237"/>
      <c r="AF302" s="237"/>
      <c r="AG302" s="237">
        <v>1.4</v>
      </c>
      <c r="AH302" s="237"/>
      <c r="AI302" s="237"/>
      <c r="AJ302" s="239">
        <f t="shared" si="119"/>
        <v>0.4</v>
      </c>
      <c r="AK302" s="237"/>
      <c r="AL302" s="237"/>
      <c r="AM302" s="237">
        <v>0.4</v>
      </c>
      <c r="AN302" s="237"/>
      <c r="AO302" s="237"/>
      <c r="AP302" s="196">
        <v>210</v>
      </c>
      <c r="AQ302" s="334">
        <f t="shared" si="120"/>
        <v>1</v>
      </c>
      <c r="AR302" s="207">
        <f t="shared" si="121"/>
        <v>0.94736842105263164</v>
      </c>
      <c r="AS302" s="196"/>
      <c r="AT302" s="196"/>
      <c r="AU302" s="273" t="str">
        <f t="shared" si="122"/>
        <v/>
      </c>
    </row>
    <row r="303" spans="1:47" hidden="1">
      <c r="A303" s="196">
        <v>25</v>
      </c>
      <c r="B303" s="279" t="s">
        <v>373</v>
      </c>
      <c r="C303" s="227">
        <f t="shared" si="112"/>
        <v>0.4</v>
      </c>
      <c r="D303" s="283"/>
      <c r="E303" s="284"/>
      <c r="F303" s="284">
        <v>0.2</v>
      </c>
      <c r="G303" s="284">
        <v>0.2</v>
      </c>
      <c r="H303" s="284"/>
      <c r="I303" s="227">
        <f t="shared" si="113"/>
        <v>0</v>
      </c>
      <c r="J303" s="285">
        <f t="shared" si="114"/>
        <v>0</v>
      </c>
      <c r="K303" s="252"/>
      <c r="L303" s="252"/>
      <c r="M303" s="252"/>
      <c r="N303" s="252"/>
      <c r="O303" s="252"/>
      <c r="P303" s="285">
        <f t="shared" si="115"/>
        <v>0</v>
      </c>
      <c r="Q303" s="252"/>
      <c r="R303" s="252"/>
      <c r="S303" s="252"/>
      <c r="T303" s="252"/>
      <c r="U303" s="252"/>
      <c r="V303" s="238">
        <f t="shared" si="116"/>
        <v>44.688000000000002</v>
      </c>
      <c r="W303" s="227">
        <f t="shared" si="117"/>
        <v>0.30000000000000004</v>
      </c>
      <c r="X303" s="237"/>
      <c r="Y303" s="237"/>
      <c r="Z303" s="237">
        <v>0.1</v>
      </c>
      <c r="AA303" s="237">
        <v>0.2</v>
      </c>
      <c r="AB303" s="237"/>
      <c r="AC303" s="286"/>
      <c r="AD303" s="239">
        <f t="shared" si="118"/>
        <v>0</v>
      </c>
      <c r="AE303" s="237"/>
      <c r="AF303" s="237"/>
      <c r="AG303" s="237"/>
      <c r="AH303" s="237"/>
      <c r="AI303" s="237"/>
      <c r="AJ303" s="239">
        <f t="shared" si="119"/>
        <v>0</v>
      </c>
      <c r="AK303" s="237"/>
      <c r="AL303" s="237"/>
      <c r="AM303" s="237"/>
      <c r="AN303" s="237"/>
      <c r="AO303" s="237"/>
      <c r="AP303" s="196">
        <v>35</v>
      </c>
      <c r="AQ303" s="334">
        <f t="shared" si="120"/>
        <v>0.75000000000000011</v>
      </c>
      <c r="AR303" s="207" t="e">
        <f t="shared" si="121"/>
        <v>#DIV/0!</v>
      </c>
      <c r="AS303" s="196"/>
      <c r="AT303" s="196"/>
      <c r="AU303" s="273" t="str">
        <f t="shared" si="122"/>
        <v/>
      </c>
    </row>
    <row r="304" spans="1:47" hidden="1">
      <c r="A304" s="196">
        <v>26</v>
      </c>
      <c r="B304" s="279" t="s">
        <v>374</v>
      </c>
      <c r="C304" s="227">
        <f t="shared" si="112"/>
        <v>2.5</v>
      </c>
      <c r="D304" s="283">
        <v>1.3</v>
      </c>
      <c r="E304" s="284"/>
      <c r="F304" s="284">
        <v>1</v>
      </c>
      <c r="G304" s="284">
        <v>0.2</v>
      </c>
      <c r="H304" s="284"/>
      <c r="I304" s="227">
        <f t="shared" si="113"/>
        <v>0</v>
      </c>
      <c r="J304" s="285">
        <f t="shared" si="114"/>
        <v>0</v>
      </c>
      <c r="K304" s="252"/>
      <c r="L304" s="252"/>
      <c r="M304" s="252"/>
      <c r="N304" s="252"/>
      <c r="O304" s="252"/>
      <c r="P304" s="285">
        <f t="shared" si="115"/>
        <v>0</v>
      </c>
      <c r="Q304" s="252"/>
      <c r="R304" s="252"/>
      <c r="S304" s="252"/>
      <c r="T304" s="252"/>
      <c r="U304" s="252"/>
      <c r="V304" s="238">
        <f t="shared" si="116"/>
        <v>387.13499999999999</v>
      </c>
      <c r="W304" s="227">
        <f t="shared" si="117"/>
        <v>2.2000000000000002</v>
      </c>
      <c r="X304" s="237">
        <v>1.1000000000000001</v>
      </c>
      <c r="Y304" s="237"/>
      <c r="Z304" s="237">
        <v>0.9</v>
      </c>
      <c r="AA304" s="237">
        <v>0.2</v>
      </c>
      <c r="AB304" s="237"/>
      <c r="AC304" s="286"/>
      <c r="AD304" s="239">
        <f t="shared" si="118"/>
        <v>0</v>
      </c>
      <c r="AE304" s="237"/>
      <c r="AF304" s="237"/>
      <c r="AG304" s="237"/>
      <c r="AH304" s="237"/>
      <c r="AI304" s="237"/>
      <c r="AJ304" s="239">
        <f t="shared" si="119"/>
        <v>0</v>
      </c>
      <c r="AK304" s="237"/>
      <c r="AL304" s="237"/>
      <c r="AM304" s="237"/>
      <c r="AN304" s="237"/>
      <c r="AO304" s="237"/>
      <c r="AP304" s="196">
        <v>370</v>
      </c>
      <c r="AQ304" s="334">
        <f t="shared" si="120"/>
        <v>0.88000000000000012</v>
      </c>
      <c r="AR304" s="207" t="e">
        <f t="shared" si="121"/>
        <v>#DIV/0!</v>
      </c>
      <c r="AS304" s="196"/>
      <c r="AT304" s="196"/>
      <c r="AU304" s="273" t="str">
        <f t="shared" si="122"/>
        <v/>
      </c>
    </row>
    <row r="305" spans="1:47" hidden="1">
      <c r="A305" s="196">
        <v>27</v>
      </c>
      <c r="B305" s="279" t="s">
        <v>375</v>
      </c>
      <c r="C305" s="227">
        <f t="shared" si="112"/>
        <v>1</v>
      </c>
      <c r="D305" s="283"/>
      <c r="E305" s="284">
        <v>0.3</v>
      </c>
      <c r="F305" s="284">
        <v>0.5</v>
      </c>
      <c r="G305" s="284">
        <v>0.2</v>
      </c>
      <c r="H305" s="284"/>
      <c r="I305" s="227">
        <f t="shared" si="113"/>
        <v>0</v>
      </c>
      <c r="J305" s="285">
        <f t="shared" si="114"/>
        <v>0</v>
      </c>
      <c r="K305" s="252"/>
      <c r="L305" s="252"/>
      <c r="M305" s="287"/>
      <c r="N305" s="252"/>
      <c r="O305" s="252"/>
      <c r="P305" s="285">
        <f t="shared" si="115"/>
        <v>0</v>
      </c>
      <c r="Q305" s="252"/>
      <c r="R305" s="252"/>
      <c r="S305" s="288"/>
      <c r="T305" s="252"/>
      <c r="U305" s="252"/>
      <c r="V305" s="238">
        <f t="shared" si="116"/>
        <v>130.11599999999999</v>
      </c>
      <c r="W305" s="227">
        <f t="shared" si="117"/>
        <v>0.7</v>
      </c>
      <c r="X305" s="237"/>
      <c r="Y305" s="237">
        <v>0.2</v>
      </c>
      <c r="Z305" s="237">
        <v>0.5</v>
      </c>
      <c r="AA305" s="237"/>
      <c r="AB305" s="237"/>
      <c r="AC305" s="286"/>
      <c r="AD305" s="239">
        <f t="shared" si="118"/>
        <v>0</v>
      </c>
      <c r="AE305" s="237"/>
      <c r="AF305" s="237"/>
      <c r="AG305" s="237"/>
      <c r="AH305" s="237"/>
      <c r="AI305" s="237"/>
      <c r="AJ305" s="239">
        <f t="shared" si="119"/>
        <v>0</v>
      </c>
      <c r="AK305" s="237"/>
      <c r="AL305" s="237"/>
      <c r="AM305" s="237"/>
      <c r="AN305" s="237"/>
      <c r="AO305" s="237"/>
      <c r="AP305" s="196">
        <v>90</v>
      </c>
      <c r="AQ305" s="334">
        <f t="shared" si="120"/>
        <v>0.7</v>
      </c>
      <c r="AR305" s="207" t="e">
        <f t="shared" si="121"/>
        <v>#DIV/0!</v>
      </c>
      <c r="AS305" s="196"/>
      <c r="AT305" s="196"/>
      <c r="AU305" s="273" t="str">
        <f t="shared" si="122"/>
        <v/>
      </c>
    </row>
    <row r="306" spans="1:47" hidden="1">
      <c r="A306" s="177" t="s">
        <v>26</v>
      </c>
      <c r="B306" s="178" t="s">
        <v>295</v>
      </c>
      <c r="C306" s="227"/>
      <c r="D306" s="289"/>
      <c r="E306" s="252"/>
      <c r="F306" s="252"/>
      <c r="G306" s="252"/>
      <c r="H306" s="252"/>
      <c r="I306" s="227"/>
      <c r="J306" s="285"/>
      <c r="K306" s="209"/>
      <c r="L306" s="209"/>
      <c r="M306" s="209"/>
      <c r="N306" s="209"/>
      <c r="O306" s="209"/>
      <c r="P306" s="285"/>
      <c r="Q306" s="209"/>
      <c r="R306" s="209"/>
      <c r="S306" s="209"/>
      <c r="T306" s="209"/>
      <c r="U306" s="209"/>
      <c r="V306" s="238"/>
      <c r="W306" s="209"/>
      <c r="X306" s="209"/>
      <c r="Y306" s="209"/>
      <c r="Z306" s="209"/>
      <c r="AA306" s="209"/>
      <c r="AB306" s="209"/>
      <c r="AC306" s="290"/>
      <c r="AD306" s="209"/>
      <c r="AE306" s="209"/>
      <c r="AF306" s="209"/>
      <c r="AG306" s="209"/>
      <c r="AH306" s="209"/>
      <c r="AI306" s="209"/>
      <c r="AJ306" s="209"/>
      <c r="AK306" s="209"/>
      <c r="AL306" s="209"/>
      <c r="AM306" s="209"/>
      <c r="AN306" s="209"/>
      <c r="AO306" s="209"/>
      <c r="AP306" s="238"/>
      <c r="AQ306" s="334"/>
      <c r="AR306" s="207"/>
      <c r="AS306" s="209"/>
      <c r="AT306" s="209"/>
      <c r="AU306" s="273"/>
    </row>
    <row r="307" spans="1:47" hidden="1">
      <c r="A307" s="196">
        <v>1</v>
      </c>
      <c r="B307" s="279" t="s">
        <v>295</v>
      </c>
      <c r="C307" s="227">
        <f>SUM(D307:H307)</f>
        <v>4.5999999999999996</v>
      </c>
      <c r="D307" s="283">
        <v>1.2</v>
      </c>
      <c r="E307" s="284">
        <v>0.4</v>
      </c>
      <c r="F307" s="284">
        <v>3</v>
      </c>
      <c r="G307" s="284"/>
      <c r="H307" s="252"/>
      <c r="I307" s="227">
        <f>J307+P307</f>
        <v>0</v>
      </c>
      <c r="J307" s="285">
        <f>SUM(K307:O307)</f>
        <v>0</v>
      </c>
      <c r="K307" s="209"/>
      <c r="L307" s="209"/>
      <c r="M307" s="209"/>
      <c r="N307" s="209"/>
      <c r="O307" s="209"/>
      <c r="P307" s="285">
        <f>SUM(Q307:U307)</f>
        <v>0</v>
      </c>
      <c r="Q307" s="209"/>
      <c r="R307" s="209"/>
      <c r="S307" s="209"/>
      <c r="T307" s="209"/>
      <c r="U307" s="209"/>
      <c r="V307" s="238">
        <f>D307*194.67+E307*173.04+F307*111.72+G307*111.72+H307*127.68+K307*86.255+L307*71.648+M307*84.489+N307*58.258+O307*53.065+Q307*72.658+R307*60.9+S307*74.716+T307*50.578+U307*46.62</f>
        <v>637.98</v>
      </c>
      <c r="W307" s="227">
        <f>SUM(X307:AB307)</f>
        <v>4.3</v>
      </c>
      <c r="X307" s="237">
        <v>0.3</v>
      </c>
      <c r="Y307" s="237">
        <v>0.3</v>
      </c>
      <c r="Z307" s="237">
        <v>3.7</v>
      </c>
      <c r="AA307" s="237"/>
      <c r="AB307" s="237"/>
      <c r="AC307" s="286">
        <v>1.3</v>
      </c>
      <c r="AD307" s="239">
        <f>SUM(AE307:AI307)</f>
        <v>0</v>
      </c>
      <c r="AE307" s="237"/>
      <c r="AF307" s="237"/>
      <c r="AG307" s="237"/>
      <c r="AH307" s="237"/>
      <c r="AI307" s="237"/>
      <c r="AJ307" s="239">
        <f>SUM(AK307:AO307)</f>
        <v>0.12</v>
      </c>
      <c r="AK307" s="237">
        <v>0.12</v>
      </c>
      <c r="AL307" s="237"/>
      <c r="AM307" s="237"/>
      <c r="AN307" s="237"/>
      <c r="AO307" s="237"/>
      <c r="AP307" s="196">
        <v>780</v>
      </c>
      <c r="AQ307" s="334">
        <f>W307/C307</f>
        <v>0.93478260869565222</v>
      </c>
      <c r="AR307" s="207" t="e">
        <f>AC307/I307</f>
        <v>#DIV/0!</v>
      </c>
      <c r="AS307" s="196"/>
      <c r="AT307" s="196"/>
      <c r="AU307" s="273" t="str">
        <f>IF(W307+AC307=0,"Chưa thực hiện","")</f>
        <v/>
      </c>
    </row>
    <row r="308" spans="1:47" hidden="1">
      <c r="A308" s="196"/>
      <c r="B308" s="241" t="s">
        <v>1</v>
      </c>
      <c r="C308" s="227">
        <f t="shared" ref="C308:V308" si="123">SUM(C278:C307)</f>
        <v>49.999999999999993</v>
      </c>
      <c r="D308" s="227">
        <f t="shared" si="123"/>
        <v>5.6000000000000005</v>
      </c>
      <c r="E308" s="227">
        <f t="shared" si="123"/>
        <v>7.75</v>
      </c>
      <c r="F308" s="227">
        <f t="shared" si="123"/>
        <v>31.600000000000005</v>
      </c>
      <c r="G308" s="227">
        <f t="shared" si="123"/>
        <v>5.0500000000000007</v>
      </c>
      <c r="H308" s="227">
        <f t="shared" si="123"/>
        <v>0</v>
      </c>
      <c r="I308" s="227">
        <f t="shared" si="123"/>
        <v>5.5</v>
      </c>
      <c r="J308" s="227">
        <f t="shared" si="123"/>
        <v>3.6999999999999997</v>
      </c>
      <c r="K308" s="227">
        <f t="shared" si="123"/>
        <v>0</v>
      </c>
      <c r="L308" s="227">
        <f t="shared" si="123"/>
        <v>0</v>
      </c>
      <c r="M308" s="227">
        <f t="shared" si="123"/>
        <v>3.6999999999999997</v>
      </c>
      <c r="N308" s="227">
        <f t="shared" si="123"/>
        <v>0</v>
      </c>
      <c r="O308" s="227">
        <f t="shared" si="123"/>
        <v>0</v>
      </c>
      <c r="P308" s="227">
        <f t="shared" si="123"/>
        <v>1.8</v>
      </c>
      <c r="Q308" s="227">
        <f t="shared" si="123"/>
        <v>0</v>
      </c>
      <c r="R308" s="227">
        <f t="shared" si="123"/>
        <v>0</v>
      </c>
      <c r="S308" s="227">
        <f t="shared" si="123"/>
        <v>1.8</v>
      </c>
      <c r="T308" s="227">
        <f t="shared" si="123"/>
        <v>0</v>
      </c>
      <c r="U308" s="227">
        <f t="shared" si="123"/>
        <v>0</v>
      </c>
      <c r="V308" s="242">
        <f t="shared" si="123"/>
        <v>6972.8480999999992</v>
      </c>
      <c r="W308" s="227">
        <f t="shared" ref="W308:AP308" si="124">SUM(W279:W307)</f>
        <v>49.029999999999987</v>
      </c>
      <c r="X308" s="227">
        <f t="shared" si="124"/>
        <v>4</v>
      </c>
      <c r="Y308" s="227">
        <f t="shared" si="124"/>
        <v>4.117</v>
      </c>
      <c r="Z308" s="227">
        <f t="shared" si="124"/>
        <v>34.317999999999998</v>
      </c>
      <c r="AA308" s="227">
        <f t="shared" si="124"/>
        <v>6.5950000000000006</v>
      </c>
      <c r="AB308" s="227">
        <f t="shared" si="124"/>
        <v>0</v>
      </c>
      <c r="AC308" s="227">
        <f t="shared" si="124"/>
        <v>6.99</v>
      </c>
      <c r="AD308" s="227">
        <f t="shared" si="124"/>
        <v>3.29</v>
      </c>
      <c r="AE308" s="227">
        <f t="shared" si="124"/>
        <v>0.60000000000000009</v>
      </c>
      <c r="AF308" s="227">
        <f t="shared" si="124"/>
        <v>0</v>
      </c>
      <c r="AG308" s="227">
        <f t="shared" si="124"/>
        <v>2.4</v>
      </c>
      <c r="AH308" s="227">
        <f t="shared" si="124"/>
        <v>0.29000000000000004</v>
      </c>
      <c r="AI308" s="227">
        <f t="shared" si="124"/>
        <v>0</v>
      </c>
      <c r="AJ308" s="227">
        <f t="shared" si="124"/>
        <v>1.62</v>
      </c>
      <c r="AK308" s="227">
        <f t="shared" si="124"/>
        <v>0.12</v>
      </c>
      <c r="AL308" s="227">
        <f t="shared" si="124"/>
        <v>0</v>
      </c>
      <c r="AM308" s="227">
        <f t="shared" si="124"/>
        <v>1.5</v>
      </c>
      <c r="AN308" s="227">
        <f t="shared" si="124"/>
        <v>0</v>
      </c>
      <c r="AO308" s="227">
        <f t="shared" si="124"/>
        <v>0</v>
      </c>
      <c r="AP308" s="242">
        <f t="shared" si="124"/>
        <v>6851.2999999999993</v>
      </c>
      <c r="AQ308" s="332">
        <f>W308/C308</f>
        <v>0.98059999999999992</v>
      </c>
      <c r="AR308" s="226">
        <f>AC308/I308</f>
        <v>1.270909090909091</v>
      </c>
      <c r="AS308" s="227">
        <f>SUM(AS279:AS307)</f>
        <v>0</v>
      </c>
      <c r="AT308" s="227">
        <f>SUM(AT279:AT307)</f>
        <v>0</v>
      </c>
    </row>
    <row r="309" spans="1:47" hidden="1">
      <c r="C309" s="273"/>
    </row>
    <row r="310" spans="1:47" hidden="1">
      <c r="B310" s="538" t="s">
        <v>190</v>
      </c>
      <c r="C310" s="539"/>
      <c r="D310" s="539"/>
      <c r="E310" s="539"/>
      <c r="F310" s="539"/>
      <c r="V310" s="173" t="s">
        <v>191</v>
      </c>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331"/>
    </row>
    <row r="311" spans="1:47" hidden="1">
      <c r="B311" s="538" t="s">
        <v>376</v>
      </c>
      <c r="C311" s="539"/>
      <c r="D311" s="539"/>
      <c r="E311" s="539"/>
      <c r="F311" s="539"/>
      <c r="V311" s="173" t="s">
        <v>193</v>
      </c>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331"/>
    </row>
    <row r="312" spans="1:47" hidden="1">
      <c r="B312" s="172"/>
      <c r="C312" s="172"/>
      <c r="D312" s="172"/>
      <c r="E312" s="172"/>
      <c r="F312" s="172"/>
      <c r="V312" s="173"/>
      <c r="W312" s="174"/>
      <c r="X312" s="174"/>
      <c r="Y312" s="174"/>
      <c r="Z312" s="174"/>
      <c r="AA312" s="174"/>
      <c r="AB312" s="174"/>
      <c r="AC312" s="174"/>
      <c r="AD312" s="174"/>
      <c r="AE312" s="174"/>
      <c r="AF312" s="174"/>
      <c r="AG312" s="174"/>
      <c r="AH312" s="174"/>
      <c r="AI312" s="174"/>
      <c r="AJ312" s="174"/>
      <c r="AK312" s="174"/>
      <c r="AL312" s="174"/>
      <c r="AM312" s="174"/>
      <c r="AN312" s="174"/>
      <c r="AO312" s="174"/>
      <c r="AP312" s="174"/>
      <c r="AQ312" s="331"/>
    </row>
    <row r="313" spans="1:47" hidden="1">
      <c r="A313" s="542" t="str">
        <f>A271</f>
        <v>Biểu 5: KẾT QUẢ THỰC HIỆN KẾ HOẠCH LÀM ĐƯỜNG GTNT, RÃNH THOÁT NƯỚC THEO CƠ CHẾ HỖ TRỢ XI MĂNG ĐẾN NGÀY 19/12/2016</v>
      </c>
      <c r="B313" s="542"/>
      <c r="C313" s="542"/>
      <c r="D313" s="542"/>
      <c r="E313" s="542"/>
      <c r="F313" s="542"/>
      <c r="G313" s="542"/>
      <c r="H313" s="542"/>
      <c r="I313" s="542"/>
      <c r="J313" s="542"/>
      <c r="K313" s="542"/>
      <c r="L313" s="542"/>
      <c r="M313" s="542"/>
      <c r="N313" s="542"/>
      <c r="O313" s="542"/>
      <c r="P313" s="542"/>
      <c r="Q313" s="542"/>
      <c r="R313" s="542"/>
      <c r="S313" s="542"/>
      <c r="T313" s="542"/>
      <c r="U313" s="542"/>
      <c r="V313" s="542"/>
      <c r="W313" s="542"/>
      <c r="X313" s="542"/>
      <c r="Y313" s="542"/>
      <c r="Z313" s="542"/>
      <c r="AA313" s="542"/>
      <c r="AB313" s="542"/>
      <c r="AC313" s="542"/>
      <c r="AD313" s="542"/>
      <c r="AE313" s="542"/>
      <c r="AF313" s="542"/>
      <c r="AG313" s="542"/>
      <c r="AH313" s="542"/>
      <c r="AI313" s="542"/>
      <c r="AJ313" s="542"/>
      <c r="AK313" s="542"/>
      <c r="AL313" s="542"/>
      <c r="AM313" s="542"/>
      <c r="AN313" s="542"/>
      <c r="AO313" s="542"/>
      <c r="AP313" s="542"/>
      <c r="AQ313" s="542"/>
      <c r="AR313" s="542"/>
      <c r="AS313" s="542"/>
      <c r="AT313" s="542"/>
    </row>
    <row r="314" spans="1:47" hidden="1">
      <c r="A314" s="543"/>
      <c r="B314" s="543"/>
      <c r="C314" s="543"/>
      <c r="D314" s="543"/>
      <c r="E314" s="543"/>
      <c r="F314" s="543"/>
      <c r="G314" s="543"/>
      <c r="H314" s="543"/>
      <c r="I314" s="543"/>
      <c r="J314" s="543"/>
      <c r="K314" s="543"/>
      <c r="L314" s="543"/>
      <c r="M314" s="543"/>
      <c r="N314" s="543"/>
      <c r="O314" s="543"/>
      <c r="P314" s="543"/>
      <c r="Q314" s="543"/>
      <c r="R314" s="543"/>
      <c r="S314" s="543"/>
      <c r="T314" s="543"/>
      <c r="U314" s="543"/>
      <c r="V314" s="543"/>
      <c r="W314" s="543"/>
      <c r="X314" s="543"/>
      <c r="Y314" s="543"/>
      <c r="Z314" s="543"/>
      <c r="AA314" s="543"/>
      <c r="AB314" s="543"/>
      <c r="AC314" s="543"/>
      <c r="AD314" s="543"/>
      <c r="AE314" s="543"/>
      <c r="AF314" s="543"/>
      <c r="AG314" s="543"/>
      <c r="AH314" s="543"/>
      <c r="AI314" s="543"/>
      <c r="AJ314" s="543"/>
      <c r="AK314" s="543"/>
      <c r="AL314" s="543"/>
      <c r="AM314" s="543"/>
      <c r="AN314" s="543"/>
      <c r="AO314" s="543"/>
      <c r="AP314" s="543"/>
      <c r="AQ314" s="543"/>
      <c r="AR314" s="543"/>
      <c r="AS314" s="543"/>
      <c r="AT314" s="543"/>
    </row>
    <row r="315" spans="1:47" ht="14.25" hidden="1" customHeight="1">
      <c r="A315" s="544" t="s">
        <v>0</v>
      </c>
      <c r="B315" s="533" t="s">
        <v>161</v>
      </c>
      <c r="C315" s="546" t="s">
        <v>162</v>
      </c>
      <c r="D315" s="546"/>
      <c r="E315" s="546"/>
      <c r="F315" s="546"/>
      <c r="G315" s="546"/>
      <c r="H315" s="546"/>
      <c r="I315" s="546"/>
      <c r="J315" s="546"/>
      <c r="K315" s="546"/>
      <c r="L315" s="546"/>
      <c r="M315" s="546"/>
      <c r="N315" s="546"/>
      <c r="O315" s="546"/>
      <c r="P315" s="546"/>
      <c r="Q315" s="546"/>
      <c r="R315" s="546"/>
      <c r="S315" s="546"/>
      <c r="T315" s="546"/>
      <c r="U315" s="546"/>
      <c r="V315" s="546"/>
      <c r="W315" s="547" t="s">
        <v>163</v>
      </c>
      <c r="X315" s="547"/>
      <c r="Y315" s="547"/>
      <c r="Z315" s="547"/>
      <c r="AA315" s="547"/>
      <c r="AB315" s="547"/>
      <c r="AC315" s="547"/>
      <c r="AD315" s="547"/>
      <c r="AE315" s="547"/>
      <c r="AF315" s="547"/>
      <c r="AG315" s="547"/>
      <c r="AH315" s="547"/>
      <c r="AI315" s="547"/>
      <c r="AJ315" s="547"/>
      <c r="AK315" s="547"/>
      <c r="AL315" s="547"/>
      <c r="AM315" s="547"/>
      <c r="AN315" s="547"/>
      <c r="AO315" s="547"/>
      <c r="AP315" s="547"/>
      <c r="AQ315" s="547" t="s">
        <v>164</v>
      </c>
      <c r="AR315" s="547"/>
      <c r="AS315" s="547" t="s">
        <v>165</v>
      </c>
      <c r="AT315" s="547"/>
    </row>
    <row r="316" spans="1:47" ht="15" hidden="1" customHeight="1">
      <c r="A316" s="545"/>
      <c r="B316" s="534"/>
      <c r="C316" s="533" t="s">
        <v>166</v>
      </c>
      <c r="D316" s="536" t="s">
        <v>167</v>
      </c>
      <c r="E316" s="536"/>
      <c r="F316" s="536"/>
      <c r="G316" s="536"/>
      <c r="H316" s="536"/>
      <c r="I316" s="533" t="s">
        <v>168</v>
      </c>
      <c r="J316" s="537" t="s">
        <v>167</v>
      </c>
      <c r="K316" s="537"/>
      <c r="L316" s="537"/>
      <c r="M316" s="537"/>
      <c r="N316" s="537"/>
      <c r="O316" s="537"/>
      <c r="P316" s="537"/>
      <c r="Q316" s="537"/>
      <c r="R316" s="537"/>
      <c r="S316" s="537"/>
      <c r="T316" s="537"/>
      <c r="U316" s="537"/>
      <c r="V316" s="552" t="s">
        <v>169</v>
      </c>
      <c r="W316" s="533" t="s">
        <v>170</v>
      </c>
      <c r="X316" s="555" t="s">
        <v>167</v>
      </c>
      <c r="Y316" s="555"/>
      <c r="Z316" s="555"/>
      <c r="AA316" s="555"/>
      <c r="AB316" s="555"/>
      <c r="AC316" s="533" t="s">
        <v>168</v>
      </c>
      <c r="AD316" s="537" t="s">
        <v>167</v>
      </c>
      <c r="AE316" s="537"/>
      <c r="AF316" s="537"/>
      <c r="AG316" s="537"/>
      <c r="AH316" s="537"/>
      <c r="AI316" s="537"/>
      <c r="AJ316" s="537"/>
      <c r="AK316" s="537"/>
      <c r="AL316" s="537"/>
      <c r="AM316" s="537"/>
      <c r="AN316" s="537"/>
      <c r="AO316" s="537"/>
      <c r="AP316" s="552" t="s">
        <v>171</v>
      </c>
      <c r="AQ316" s="548" t="s">
        <v>172</v>
      </c>
      <c r="AR316" s="548" t="s">
        <v>173</v>
      </c>
      <c r="AS316" s="548" t="s">
        <v>170</v>
      </c>
      <c r="AT316" s="548" t="s">
        <v>168</v>
      </c>
    </row>
    <row r="317" spans="1:47" ht="15" hidden="1" customHeight="1">
      <c r="A317" s="545"/>
      <c r="B317" s="534"/>
      <c r="C317" s="534"/>
      <c r="D317" s="552" t="s">
        <v>174</v>
      </c>
      <c r="E317" s="552" t="s">
        <v>175</v>
      </c>
      <c r="F317" s="552" t="s">
        <v>176</v>
      </c>
      <c r="G317" s="552" t="s">
        <v>177</v>
      </c>
      <c r="H317" s="552" t="s">
        <v>178</v>
      </c>
      <c r="I317" s="534"/>
      <c r="J317" s="537" t="s">
        <v>179</v>
      </c>
      <c r="K317" s="537"/>
      <c r="L317" s="537"/>
      <c r="M317" s="537"/>
      <c r="N317" s="537"/>
      <c r="O317" s="537"/>
      <c r="P317" s="537" t="s">
        <v>180</v>
      </c>
      <c r="Q317" s="537"/>
      <c r="R317" s="537"/>
      <c r="S317" s="537"/>
      <c r="T317" s="537"/>
      <c r="U317" s="537"/>
      <c r="V317" s="553"/>
      <c r="W317" s="534"/>
      <c r="X317" s="552" t="s">
        <v>174</v>
      </c>
      <c r="Y317" s="552" t="s">
        <v>175</v>
      </c>
      <c r="Z317" s="552" t="s">
        <v>176</v>
      </c>
      <c r="AA317" s="552" t="s">
        <v>177</v>
      </c>
      <c r="AB317" s="552" t="s">
        <v>178</v>
      </c>
      <c r="AC317" s="534"/>
      <c r="AD317" s="537" t="s">
        <v>179</v>
      </c>
      <c r="AE317" s="537"/>
      <c r="AF317" s="537"/>
      <c r="AG317" s="537"/>
      <c r="AH317" s="537"/>
      <c r="AI317" s="537"/>
      <c r="AJ317" s="537" t="s">
        <v>180</v>
      </c>
      <c r="AK317" s="537"/>
      <c r="AL317" s="537"/>
      <c r="AM317" s="537"/>
      <c r="AN317" s="537"/>
      <c r="AO317" s="537"/>
      <c r="AP317" s="553"/>
      <c r="AQ317" s="549"/>
      <c r="AR317" s="549"/>
      <c r="AS317" s="549"/>
      <c r="AT317" s="549"/>
    </row>
    <row r="318" spans="1:47" ht="15.5" hidden="1">
      <c r="A318" s="179"/>
      <c r="B318" s="534"/>
      <c r="C318" s="534"/>
      <c r="D318" s="553"/>
      <c r="E318" s="553"/>
      <c r="F318" s="553"/>
      <c r="G318" s="553"/>
      <c r="H318" s="553"/>
      <c r="I318" s="534"/>
      <c r="J318" s="556" t="s">
        <v>1</v>
      </c>
      <c r="K318" s="551" t="s">
        <v>181</v>
      </c>
      <c r="L318" s="551"/>
      <c r="M318" s="551" t="s">
        <v>182</v>
      </c>
      <c r="N318" s="551"/>
      <c r="O318" s="551" t="s">
        <v>183</v>
      </c>
      <c r="P318" s="556" t="s">
        <v>1</v>
      </c>
      <c r="Q318" s="551" t="s">
        <v>181</v>
      </c>
      <c r="R318" s="551"/>
      <c r="S318" s="551" t="s">
        <v>182</v>
      </c>
      <c r="T318" s="551"/>
      <c r="U318" s="551" t="s">
        <v>183</v>
      </c>
      <c r="V318" s="553"/>
      <c r="W318" s="534"/>
      <c r="X318" s="553"/>
      <c r="Y318" s="553"/>
      <c r="Z318" s="553"/>
      <c r="AA318" s="553"/>
      <c r="AB318" s="553"/>
      <c r="AC318" s="534"/>
      <c r="AD318" s="556" t="s">
        <v>1</v>
      </c>
      <c r="AE318" s="551" t="s">
        <v>181</v>
      </c>
      <c r="AF318" s="551"/>
      <c r="AG318" s="551" t="s">
        <v>182</v>
      </c>
      <c r="AH318" s="551"/>
      <c r="AI318" s="551" t="s">
        <v>183</v>
      </c>
      <c r="AJ318" s="556" t="s">
        <v>1</v>
      </c>
      <c r="AK318" s="551" t="s">
        <v>181</v>
      </c>
      <c r="AL318" s="551"/>
      <c r="AM318" s="551" t="s">
        <v>182</v>
      </c>
      <c r="AN318" s="551"/>
      <c r="AO318" s="551" t="s">
        <v>183</v>
      </c>
      <c r="AP318" s="553"/>
      <c r="AQ318" s="549"/>
      <c r="AR318" s="549"/>
      <c r="AS318" s="549"/>
      <c r="AT318" s="549"/>
    </row>
    <row r="319" spans="1:47" ht="90" hidden="1" customHeight="1">
      <c r="A319" s="179"/>
      <c r="B319" s="535"/>
      <c r="C319" s="535"/>
      <c r="D319" s="554"/>
      <c r="E319" s="554"/>
      <c r="F319" s="554"/>
      <c r="G319" s="554"/>
      <c r="H319" s="554"/>
      <c r="I319" s="535"/>
      <c r="J319" s="557"/>
      <c r="K319" s="186" t="s">
        <v>184</v>
      </c>
      <c r="L319" s="186" t="s">
        <v>185</v>
      </c>
      <c r="M319" s="186" t="s">
        <v>184</v>
      </c>
      <c r="N319" s="186" t="s">
        <v>185</v>
      </c>
      <c r="O319" s="551"/>
      <c r="P319" s="557"/>
      <c r="Q319" s="186" t="s">
        <v>184</v>
      </c>
      <c r="R319" s="186" t="s">
        <v>185</v>
      </c>
      <c r="S319" s="186" t="s">
        <v>184</v>
      </c>
      <c r="T319" s="186" t="s">
        <v>185</v>
      </c>
      <c r="U319" s="551"/>
      <c r="V319" s="554"/>
      <c r="W319" s="535"/>
      <c r="X319" s="554"/>
      <c r="Y319" s="554"/>
      <c r="Z319" s="554"/>
      <c r="AA319" s="554"/>
      <c r="AB319" s="554"/>
      <c r="AC319" s="535"/>
      <c r="AD319" s="557"/>
      <c r="AE319" s="186" t="s">
        <v>184</v>
      </c>
      <c r="AF319" s="186" t="s">
        <v>185</v>
      </c>
      <c r="AG319" s="186" t="s">
        <v>184</v>
      </c>
      <c r="AH319" s="186" t="s">
        <v>185</v>
      </c>
      <c r="AI319" s="551"/>
      <c r="AJ319" s="557"/>
      <c r="AK319" s="186" t="s">
        <v>184</v>
      </c>
      <c r="AL319" s="186" t="s">
        <v>185</v>
      </c>
      <c r="AM319" s="186" t="s">
        <v>184</v>
      </c>
      <c r="AN319" s="186" t="s">
        <v>185</v>
      </c>
      <c r="AO319" s="551"/>
      <c r="AP319" s="554"/>
      <c r="AQ319" s="550"/>
      <c r="AR319" s="550"/>
      <c r="AS319" s="550"/>
      <c r="AT319" s="550"/>
    </row>
    <row r="320" spans="1:47" hidden="1">
      <c r="A320" s="177" t="s">
        <v>25</v>
      </c>
      <c r="B320" s="178" t="s">
        <v>215</v>
      </c>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c r="AA320" s="196"/>
      <c r="AB320" s="196"/>
      <c r="AC320" s="196"/>
      <c r="AD320" s="196"/>
      <c r="AE320" s="196"/>
      <c r="AF320" s="196"/>
      <c r="AG320" s="196"/>
      <c r="AH320" s="196"/>
      <c r="AI320" s="196"/>
      <c r="AJ320" s="196"/>
      <c r="AK320" s="196"/>
      <c r="AL320" s="196"/>
      <c r="AM320" s="196"/>
      <c r="AN320" s="196"/>
      <c r="AO320" s="196"/>
      <c r="AP320" s="196"/>
      <c r="AQ320" s="245"/>
      <c r="AR320" s="196"/>
      <c r="AS320" s="196"/>
      <c r="AT320" s="196"/>
    </row>
    <row r="321" spans="1:46" hidden="1">
      <c r="A321" s="245">
        <v>1</v>
      </c>
      <c r="B321" s="279" t="s">
        <v>377</v>
      </c>
      <c r="C321" s="291">
        <f t="shared" ref="C321:C350" si="125">SUM(D321:H321)</f>
        <v>0.96</v>
      </c>
      <c r="D321" s="292"/>
      <c r="E321" s="293">
        <v>0.375</v>
      </c>
      <c r="F321" s="293">
        <v>0.58499999999999996</v>
      </c>
      <c r="G321" s="292"/>
      <c r="H321" s="292"/>
      <c r="I321" s="249">
        <f t="shared" ref="I321:I352" si="126">J321+P321</f>
        <v>0.15</v>
      </c>
      <c r="J321" s="240">
        <f t="shared" ref="J321:J352" si="127">SUM(K321:O321)</f>
        <v>0</v>
      </c>
      <c r="K321" s="196"/>
      <c r="L321" s="196"/>
      <c r="M321" s="196"/>
      <c r="N321" s="196"/>
      <c r="O321" s="196"/>
      <c r="P321" s="240">
        <f t="shared" ref="P321:P352" si="128">SUM(Q321:U321)</f>
        <v>0.15</v>
      </c>
      <c r="Q321" s="196"/>
      <c r="R321" s="196"/>
      <c r="S321" s="196"/>
      <c r="T321" s="196">
        <v>0.15</v>
      </c>
      <c r="U321" s="196"/>
      <c r="V321" s="238">
        <f t="shared" ref="V321:V352" si="129">D321*194.67+E321*173.04+F321*111.72+G321*111.72+H321*127.68+K321*86.255+L321*71.648+M321*84.489+N321*58.258+O321*53.065+Q321*72.658+R321*60.9+S321*74.716+T321*50.578+U321*46.62</f>
        <v>137.8329</v>
      </c>
      <c r="W321" s="227">
        <f t="shared" ref="W321:W352" si="130">SUM(X321:AB321)</f>
        <v>0.97500000000000009</v>
      </c>
      <c r="X321" s="237"/>
      <c r="Y321" s="237">
        <v>0.17499999999999999</v>
      </c>
      <c r="Z321" s="237">
        <v>0.8</v>
      </c>
      <c r="AA321" s="237"/>
      <c r="AB321" s="237"/>
      <c r="AC321" s="227"/>
      <c r="AD321" s="239">
        <f t="shared" ref="AD321:AD352" si="131">SUM(AE321:AI321)</f>
        <v>0</v>
      </c>
      <c r="AE321" s="237"/>
      <c r="AF321" s="237"/>
      <c r="AG321" s="237"/>
      <c r="AH321" s="237"/>
      <c r="AI321" s="237"/>
      <c r="AJ321" s="239">
        <f t="shared" ref="AJ321:AJ352" si="132">SUM(AK321:AO321)</f>
        <v>0</v>
      </c>
      <c r="AK321" s="237"/>
      <c r="AL321" s="237"/>
      <c r="AM321" s="237"/>
      <c r="AN321" s="237"/>
      <c r="AO321" s="237"/>
      <c r="AP321" s="196">
        <v>118</v>
      </c>
      <c r="AQ321" s="334">
        <f t="shared" ref="AQ321:AQ353" si="133">W321/C321</f>
        <v>1.0156250000000002</v>
      </c>
      <c r="AR321" s="207"/>
      <c r="AS321" s="196"/>
      <c r="AT321" s="196"/>
    </row>
    <row r="322" spans="1:46" hidden="1">
      <c r="A322" s="294">
        <f t="shared" ref="A322:A350" si="134">A321+1</f>
        <v>2</v>
      </c>
      <c r="B322" s="295" t="s">
        <v>378</v>
      </c>
      <c r="C322" s="291">
        <f t="shared" si="125"/>
        <v>3.956</v>
      </c>
      <c r="D322" s="296"/>
      <c r="E322" s="297">
        <v>0.03</v>
      </c>
      <c r="F322" s="297">
        <v>3.9260000000000002</v>
      </c>
      <c r="G322" s="298"/>
      <c r="H322" s="296"/>
      <c r="I322" s="249">
        <f t="shared" si="126"/>
        <v>0.5</v>
      </c>
      <c r="J322" s="240">
        <f t="shared" si="127"/>
        <v>0</v>
      </c>
      <c r="K322" s="196"/>
      <c r="L322" s="196"/>
      <c r="M322" s="196"/>
      <c r="N322" s="196"/>
      <c r="O322" s="196"/>
      <c r="P322" s="240">
        <f t="shared" si="128"/>
        <v>0.5</v>
      </c>
      <c r="Q322" s="196"/>
      <c r="R322" s="196"/>
      <c r="S322" s="196">
        <v>0.1</v>
      </c>
      <c r="T322" s="196">
        <v>0.4</v>
      </c>
      <c r="U322" s="196"/>
      <c r="V322" s="238">
        <f t="shared" si="129"/>
        <v>471.50672000000003</v>
      </c>
      <c r="W322" s="227">
        <f t="shared" si="130"/>
        <v>3.9899999999999998</v>
      </c>
      <c r="X322" s="237"/>
      <c r="Y322" s="237">
        <v>0.03</v>
      </c>
      <c r="Z322" s="237">
        <v>3.96</v>
      </c>
      <c r="AA322" s="237"/>
      <c r="AB322" s="237"/>
      <c r="AC322" s="227"/>
      <c r="AD322" s="239">
        <f t="shared" si="131"/>
        <v>0</v>
      </c>
      <c r="AE322" s="237"/>
      <c r="AF322" s="237"/>
      <c r="AG322" s="237"/>
      <c r="AH322" s="237"/>
      <c r="AI322" s="237"/>
      <c r="AJ322" s="239">
        <f t="shared" si="132"/>
        <v>0</v>
      </c>
      <c r="AK322" s="237"/>
      <c r="AL322" s="237"/>
      <c r="AM322" s="237"/>
      <c r="AN322" s="237"/>
      <c r="AO322" s="237"/>
      <c r="AP322" s="196">
        <v>502</v>
      </c>
      <c r="AQ322" s="334">
        <f t="shared" si="133"/>
        <v>1.0085945399393326</v>
      </c>
      <c r="AR322" s="207"/>
      <c r="AS322" s="196"/>
      <c r="AT322" s="196"/>
    </row>
    <row r="323" spans="1:46" hidden="1">
      <c r="A323" s="245">
        <f t="shared" si="134"/>
        <v>3</v>
      </c>
      <c r="B323" s="279" t="s">
        <v>379</v>
      </c>
      <c r="C323" s="291">
        <f t="shared" si="125"/>
        <v>2.5</v>
      </c>
      <c r="D323" s="292"/>
      <c r="E323" s="293">
        <v>0.22</v>
      </c>
      <c r="F323" s="293">
        <v>2.2799999999999998</v>
      </c>
      <c r="G323" s="299"/>
      <c r="H323" s="292"/>
      <c r="I323" s="249">
        <f t="shared" si="126"/>
        <v>0</v>
      </c>
      <c r="J323" s="240">
        <f t="shared" si="127"/>
        <v>0</v>
      </c>
      <c r="K323" s="196"/>
      <c r="L323" s="196"/>
      <c r="M323" s="196"/>
      <c r="N323" s="196"/>
      <c r="O323" s="196"/>
      <c r="P323" s="240">
        <f t="shared" si="128"/>
        <v>0</v>
      </c>
      <c r="Q323" s="196"/>
      <c r="R323" s="196"/>
      <c r="S323" s="196"/>
      <c r="T323" s="196"/>
      <c r="U323" s="196"/>
      <c r="V323" s="238">
        <f t="shared" si="129"/>
        <v>292.79039999999998</v>
      </c>
      <c r="W323" s="227">
        <f t="shared" si="130"/>
        <v>2.5299999999999998</v>
      </c>
      <c r="X323" s="237"/>
      <c r="Y323" s="237">
        <v>0.25</v>
      </c>
      <c r="Z323" s="237">
        <v>2.2799999999999998</v>
      </c>
      <c r="AA323" s="237"/>
      <c r="AB323" s="237"/>
      <c r="AC323" s="227"/>
      <c r="AD323" s="239">
        <f t="shared" si="131"/>
        <v>0</v>
      </c>
      <c r="AE323" s="237"/>
      <c r="AF323" s="237"/>
      <c r="AG323" s="237"/>
      <c r="AH323" s="237"/>
      <c r="AI323" s="237"/>
      <c r="AJ323" s="239">
        <f t="shared" si="132"/>
        <v>0</v>
      </c>
      <c r="AK323" s="237"/>
      <c r="AL323" s="237"/>
      <c r="AM323" s="237"/>
      <c r="AN323" s="237"/>
      <c r="AO323" s="237"/>
      <c r="AP323" s="196">
        <v>314</v>
      </c>
      <c r="AQ323" s="334">
        <f t="shared" si="133"/>
        <v>1.012</v>
      </c>
      <c r="AR323" s="207"/>
      <c r="AS323" s="196"/>
      <c r="AT323" s="196"/>
    </row>
    <row r="324" spans="1:46" hidden="1">
      <c r="A324" s="294">
        <f t="shared" si="134"/>
        <v>4</v>
      </c>
      <c r="B324" s="295" t="s">
        <v>380</v>
      </c>
      <c r="C324" s="291">
        <f t="shared" si="125"/>
        <v>1.1000000000000001</v>
      </c>
      <c r="D324" s="296"/>
      <c r="E324" s="297"/>
      <c r="F324" s="297">
        <v>1.1000000000000001</v>
      </c>
      <c r="G324" s="298"/>
      <c r="H324" s="296"/>
      <c r="I324" s="249">
        <f t="shared" si="126"/>
        <v>0</v>
      </c>
      <c r="J324" s="240">
        <f t="shared" si="127"/>
        <v>0</v>
      </c>
      <c r="K324" s="196"/>
      <c r="L324" s="196"/>
      <c r="M324" s="196"/>
      <c r="N324" s="196"/>
      <c r="O324" s="196"/>
      <c r="P324" s="240">
        <f t="shared" si="128"/>
        <v>0</v>
      </c>
      <c r="Q324" s="196"/>
      <c r="R324" s="196"/>
      <c r="S324" s="196"/>
      <c r="T324" s="196"/>
      <c r="U324" s="196"/>
      <c r="V324" s="238">
        <f t="shared" si="129"/>
        <v>122.89200000000001</v>
      </c>
      <c r="W324" s="227">
        <f t="shared" si="130"/>
        <v>1.1000000000000001</v>
      </c>
      <c r="X324" s="237"/>
      <c r="Y324" s="237"/>
      <c r="Z324" s="237">
        <v>1.1000000000000001</v>
      </c>
      <c r="AA324" s="237"/>
      <c r="AB324" s="237"/>
      <c r="AC324" s="227"/>
      <c r="AD324" s="239">
        <f t="shared" si="131"/>
        <v>0</v>
      </c>
      <c r="AE324" s="237"/>
      <c r="AF324" s="237"/>
      <c r="AG324" s="237"/>
      <c r="AH324" s="237"/>
      <c r="AI324" s="237"/>
      <c r="AJ324" s="239">
        <f t="shared" si="132"/>
        <v>0</v>
      </c>
      <c r="AK324" s="237"/>
      <c r="AL324" s="237"/>
      <c r="AM324" s="237"/>
      <c r="AN324" s="237"/>
      <c r="AO324" s="237"/>
      <c r="AP324" s="196">
        <v>121</v>
      </c>
      <c r="AQ324" s="334">
        <f t="shared" si="133"/>
        <v>1</v>
      </c>
      <c r="AR324" s="207"/>
      <c r="AS324" s="196"/>
      <c r="AT324" s="196"/>
    </row>
    <row r="325" spans="1:46" hidden="1">
      <c r="A325" s="294">
        <f t="shared" si="134"/>
        <v>5</v>
      </c>
      <c r="B325" s="295" t="s">
        <v>381</v>
      </c>
      <c r="C325" s="291">
        <f t="shared" si="125"/>
        <v>1</v>
      </c>
      <c r="D325" s="296"/>
      <c r="E325" s="297">
        <v>1</v>
      </c>
      <c r="F325" s="297"/>
      <c r="G325" s="298"/>
      <c r="H325" s="296"/>
      <c r="I325" s="249">
        <f t="shared" si="126"/>
        <v>0</v>
      </c>
      <c r="J325" s="240">
        <f t="shared" si="127"/>
        <v>0</v>
      </c>
      <c r="K325" s="196"/>
      <c r="L325" s="196"/>
      <c r="M325" s="196"/>
      <c r="N325" s="196"/>
      <c r="O325" s="196"/>
      <c r="P325" s="240">
        <f t="shared" si="128"/>
        <v>0</v>
      </c>
      <c r="Q325" s="196"/>
      <c r="R325" s="196"/>
      <c r="S325" s="196"/>
      <c r="T325" s="196"/>
      <c r="U325" s="196"/>
      <c r="V325" s="238">
        <f t="shared" si="129"/>
        <v>173.04</v>
      </c>
      <c r="W325" s="227">
        <f t="shared" si="130"/>
        <v>1.8</v>
      </c>
      <c r="X325" s="237"/>
      <c r="Y325" s="237"/>
      <c r="Z325" s="237">
        <v>1.8</v>
      </c>
      <c r="AA325" s="237"/>
      <c r="AB325" s="237"/>
      <c r="AC325" s="227"/>
      <c r="AD325" s="239">
        <f t="shared" si="131"/>
        <v>0</v>
      </c>
      <c r="AE325" s="237"/>
      <c r="AF325" s="237"/>
      <c r="AG325" s="237"/>
      <c r="AH325" s="237"/>
      <c r="AI325" s="237"/>
      <c r="AJ325" s="239">
        <f t="shared" si="132"/>
        <v>0</v>
      </c>
      <c r="AK325" s="237"/>
      <c r="AL325" s="237"/>
      <c r="AM325" s="237"/>
      <c r="AN325" s="237"/>
      <c r="AO325" s="237"/>
      <c r="AP325" s="196">
        <v>207</v>
      </c>
      <c r="AQ325" s="334">
        <f t="shared" si="133"/>
        <v>1.8</v>
      </c>
      <c r="AR325" s="207"/>
      <c r="AS325" s="196"/>
      <c r="AT325" s="196"/>
    </row>
    <row r="326" spans="1:46" hidden="1">
      <c r="A326" s="294">
        <f t="shared" si="134"/>
        <v>6</v>
      </c>
      <c r="B326" s="295" t="s">
        <v>382</v>
      </c>
      <c r="C326" s="291">
        <f t="shared" si="125"/>
        <v>1.2349999999999999</v>
      </c>
      <c r="D326" s="296"/>
      <c r="E326" s="297"/>
      <c r="F326" s="297">
        <v>0.3</v>
      </c>
      <c r="G326" s="298">
        <v>0.93499999999999994</v>
      </c>
      <c r="H326" s="296"/>
      <c r="I326" s="249">
        <f t="shared" si="126"/>
        <v>1</v>
      </c>
      <c r="J326" s="240">
        <f t="shared" si="127"/>
        <v>1</v>
      </c>
      <c r="K326" s="196">
        <v>1</v>
      </c>
      <c r="L326" s="196"/>
      <c r="M326" s="196"/>
      <c r="N326" s="196"/>
      <c r="O326" s="196"/>
      <c r="P326" s="240">
        <f t="shared" si="128"/>
        <v>0</v>
      </c>
      <c r="Q326" s="196"/>
      <c r="R326" s="196"/>
      <c r="S326" s="196"/>
      <c r="T326" s="196"/>
      <c r="U326" s="196"/>
      <c r="V326" s="238">
        <f t="shared" si="129"/>
        <v>224.22919999999999</v>
      </c>
      <c r="W326" s="227">
        <f t="shared" si="130"/>
        <v>1.24</v>
      </c>
      <c r="X326" s="237"/>
      <c r="Y326" s="237">
        <v>0.04</v>
      </c>
      <c r="Z326" s="237">
        <v>1.2</v>
      </c>
      <c r="AA326" s="237"/>
      <c r="AB326" s="237"/>
      <c r="AC326" s="227"/>
      <c r="AD326" s="239">
        <f t="shared" si="131"/>
        <v>0</v>
      </c>
      <c r="AE326" s="237"/>
      <c r="AF326" s="237"/>
      <c r="AG326" s="237"/>
      <c r="AH326" s="237"/>
      <c r="AI326" s="237"/>
      <c r="AJ326" s="239">
        <f t="shared" si="132"/>
        <v>0</v>
      </c>
      <c r="AK326" s="237"/>
      <c r="AL326" s="237"/>
      <c r="AM326" s="237"/>
      <c r="AN326" s="237"/>
      <c r="AO326" s="237"/>
      <c r="AP326" s="196">
        <v>150</v>
      </c>
      <c r="AQ326" s="334">
        <f t="shared" si="133"/>
        <v>1.0040485829959516</v>
      </c>
      <c r="AR326" s="207">
        <f>AC326/I326</f>
        <v>0</v>
      </c>
      <c r="AS326" s="196"/>
      <c r="AT326" s="196"/>
    </row>
    <row r="327" spans="1:46" hidden="1">
      <c r="A327" s="294">
        <f t="shared" si="134"/>
        <v>7</v>
      </c>
      <c r="B327" s="295" t="s">
        <v>383</v>
      </c>
      <c r="C327" s="291">
        <f t="shared" si="125"/>
        <v>0.8580000000000001</v>
      </c>
      <c r="D327" s="296"/>
      <c r="E327" s="297">
        <v>0.57000000000000006</v>
      </c>
      <c r="F327" s="297">
        <v>0.28800000000000003</v>
      </c>
      <c r="G327" s="298"/>
      <c r="H327" s="296"/>
      <c r="I327" s="249">
        <f t="shared" si="126"/>
        <v>0</v>
      </c>
      <c r="J327" s="240">
        <f t="shared" si="127"/>
        <v>0</v>
      </c>
      <c r="K327" s="196"/>
      <c r="L327" s="196"/>
      <c r="M327" s="196"/>
      <c r="N327" s="196"/>
      <c r="O327" s="196"/>
      <c r="P327" s="240">
        <f t="shared" si="128"/>
        <v>0</v>
      </c>
      <c r="Q327" s="196"/>
      <c r="R327" s="196"/>
      <c r="S327" s="196"/>
      <c r="T327" s="196"/>
      <c r="U327" s="196"/>
      <c r="V327" s="238">
        <f t="shared" si="129"/>
        <v>130.80816000000002</v>
      </c>
      <c r="W327" s="227">
        <f t="shared" si="130"/>
        <v>1.1499999999999999</v>
      </c>
      <c r="X327" s="237">
        <v>0.3</v>
      </c>
      <c r="Y327" s="237">
        <v>0.56999999999999995</v>
      </c>
      <c r="Z327" s="237">
        <v>0.28000000000000003</v>
      </c>
      <c r="AA327" s="237"/>
      <c r="AB327" s="237"/>
      <c r="AC327" s="227"/>
      <c r="AD327" s="239">
        <f t="shared" si="131"/>
        <v>0</v>
      </c>
      <c r="AE327" s="237"/>
      <c r="AF327" s="237"/>
      <c r="AG327" s="237"/>
      <c r="AH327" s="237"/>
      <c r="AI327" s="237"/>
      <c r="AJ327" s="239">
        <f t="shared" si="132"/>
        <v>0</v>
      </c>
      <c r="AK327" s="237"/>
      <c r="AL327" s="237"/>
      <c r="AM327" s="237"/>
      <c r="AN327" s="237"/>
      <c r="AO327" s="237"/>
      <c r="AP327" s="196">
        <v>198</v>
      </c>
      <c r="AQ327" s="334">
        <f t="shared" si="133"/>
        <v>1.3403263403263401</v>
      </c>
      <c r="AR327" s="207"/>
      <c r="AS327" s="196"/>
      <c r="AT327" s="196"/>
    </row>
    <row r="328" spans="1:46" hidden="1">
      <c r="A328" s="294">
        <f t="shared" si="134"/>
        <v>8</v>
      </c>
      <c r="B328" s="295" t="s">
        <v>384</v>
      </c>
      <c r="C328" s="291">
        <f t="shared" si="125"/>
        <v>3</v>
      </c>
      <c r="D328" s="296"/>
      <c r="E328" s="297">
        <v>1.2</v>
      </c>
      <c r="F328" s="297">
        <v>1.8</v>
      </c>
      <c r="G328" s="298"/>
      <c r="H328" s="296"/>
      <c r="I328" s="249">
        <f t="shared" si="126"/>
        <v>0.5</v>
      </c>
      <c r="J328" s="240">
        <f t="shared" si="127"/>
        <v>0</v>
      </c>
      <c r="K328" s="196"/>
      <c r="L328" s="196"/>
      <c r="M328" s="196"/>
      <c r="N328" s="196"/>
      <c r="O328" s="196"/>
      <c r="P328" s="240">
        <f t="shared" si="128"/>
        <v>0.5</v>
      </c>
      <c r="Q328" s="196"/>
      <c r="R328" s="196">
        <v>0.5</v>
      </c>
      <c r="S328" s="196"/>
      <c r="T328" s="196"/>
      <c r="U328" s="196"/>
      <c r="V328" s="238">
        <f t="shared" si="129"/>
        <v>439.19400000000002</v>
      </c>
      <c r="W328" s="227">
        <f t="shared" si="130"/>
        <v>3</v>
      </c>
      <c r="X328" s="237"/>
      <c r="Y328" s="237">
        <v>1.2</v>
      </c>
      <c r="Z328" s="237">
        <v>1.8</v>
      </c>
      <c r="AA328" s="237"/>
      <c r="AB328" s="237"/>
      <c r="AC328" s="227"/>
      <c r="AD328" s="239">
        <f t="shared" si="131"/>
        <v>0</v>
      </c>
      <c r="AE328" s="237"/>
      <c r="AF328" s="237"/>
      <c r="AG328" s="237"/>
      <c r="AH328" s="237"/>
      <c r="AI328" s="237"/>
      <c r="AJ328" s="239">
        <f t="shared" si="132"/>
        <v>0</v>
      </c>
      <c r="AK328" s="237"/>
      <c r="AL328" s="237"/>
      <c r="AM328" s="237"/>
      <c r="AN328" s="237"/>
      <c r="AO328" s="237"/>
      <c r="AP328" s="196">
        <v>418</v>
      </c>
      <c r="AQ328" s="334">
        <f t="shared" si="133"/>
        <v>1</v>
      </c>
      <c r="AR328" s="207">
        <f>AC328/I328</f>
        <v>0</v>
      </c>
      <c r="AS328" s="196"/>
      <c r="AT328" s="196"/>
    </row>
    <row r="329" spans="1:46" hidden="1">
      <c r="A329" s="245">
        <f t="shared" si="134"/>
        <v>9</v>
      </c>
      <c r="B329" s="279" t="s">
        <v>385</v>
      </c>
      <c r="C329" s="291">
        <f t="shared" si="125"/>
        <v>1.97</v>
      </c>
      <c r="D329" s="292"/>
      <c r="E329" s="293">
        <v>0.27</v>
      </c>
      <c r="F329" s="293">
        <v>1.7</v>
      </c>
      <c r="G329" s="299"/>
      <c r="H329" s="292"/>
      <c r="I329" s="249">
        <f t="shared" si="126"/>
        <v>0.95000000000000007</v>
      </c>
      <c r="J329" s="240">
        <f t="shared" si="127"/>
        <v>0.15</v>
      </c>
      <c r="K329" s="196">
        <v>0.15</v>
      </c>
      <c r="L329" s="196"/>
      <c r="M329" s="196"/>
      <c r="N329" s="196"/>
      <c r="O329" s="196"/>
      <c r="P329" s="240">
        <f t="shared" si="128"/>
        <v>0.8</v>
      </c>
      <c r="Q329" s="196"/>
      <c r="R329" s="196">
        <v>0.8</v>
      </c>
      <c r="S329" s="196"/>
      <c r="T329" s="196"/>
      <c r="U329" s="196"/>
      <c r="V329" s="238">
        <f t="shared" si="129"/>
        <v>298.30304999999998</v>
      </c>
      <c r="W329" s="227">
        <f t="shared" si="130"/>
        <v>2.0700000000000003</v>
      </c>
      <c r="X329" s="237"/>
      <c r="Y329" s="237">
        <v>0.27</v>
      </c>
      <c r="Z329" s="237">
        <v>1.8</v>
      </c>
      <c r="AA329" s="237"/>
      <c r="AB329" s="237"/>
      <c r="AC329" s="227">
        <v>0.45</v>
      </c>
      <c r="AD329" s="239">
        <f t="shared" si="131"/>
        <v>0</v>
      </c>
      <c r="AE329" s="237"/>
      <c r="AF329" s="237"/>
      <c r="AG329" s="237"/>
      <c r="AH329" s="237"/>
      <c r="AI329" s="237"/>
      <c r="AJ329" s="239">
        <f t="shared" si="132"/>
        <v>0</v>
      </c>
      <c r="AK329" s="237"/>
      <c r="AL329" s="237"/>
      <c r="AM329" s="237"/>
      <c r="AN329" s="237"/>
      <c r="AO329" s="237"/>
      <c r="AP329" s="196">
        <v>277</v>
      </c>
      <c r="AQ329" s="334">
        <f t="shared" si="133"/>
        <v>1.0507614213197971</v>
      </c>
      <c r="AR329" s="207">
        <f>AC329/I329</f>
        <v>0.47368421052631576</v>
      </c>
      <c r="AS329" s="196"/>
      <c r="AT329" s="196"/>
    </row>
    <row r="330" spans="1:46" hidden="1">
      <c r="A330" s="245">
        <f t="shared" si="134"/>
        <v>10</v>
      </c>
      <c r="B330" s="279" t="s">
        <v>386</v>
      </c>
      <c r="C330" s="291">
        <f t="shared" si="125"/>
        <v>2.5539999999999998</v>
      </c>
      <c r="D330" s="292"/>
      <c r="E330" s="293">
        <v>0.76</v>
      </c>
      <c r="F330" s="293">
        <v>1.494</v>
      </c>
      <c r="G330" s="299">
        <v>0.3</v>
      </c>
      <c r="H330" s="292"/>
      <c r="I330" s="249">
        <f t="shared" si="126"/>
        <v>0.4</v>
      </c>
      <c r="J330" s="240">
        <f t="shared" si="127"/>
        <v>0.4</v>
      </c>
      <c r="K330" s="196"/>
      <c r="L330" s="196"/>
      <c r="M330" s="196"/>
      <c r="N330" s="196"/>
      <c r="O330" s="196">
        <v>0.4</v>
      </c>
      <c r="P330" s="240">
        <f t="shared" si="128"/>
        <v>0</v>
      </c>
      <c r="Q330" s="196"/>
      <c r="R330" s="196"/>
      <c r="S330" s="196"/>
      <c r="T330" s="196"/>
      <c r="U330" s="196"/>
      <c r="V330" s="238">
        <f t="shared" si="129"/>
        <v>353.16208</v>
      </c>
      <c r="W330" s="227">
        <f t="shared" si="130"/>
        <v>2.66</v>
      </c>
      <c r="X330" s="237"/>
      <c r="Y330" s="237">
        <v>0.76</v>
      </c>
      <c r="Z330" s="237">
        <v>1.6</v>
      </c>
      <c r="AA330" s="237">
        <v>0.3</v>
      </c>
      <c r="AB330" s="237"/>
      <c r="AC330" s="227"/>
      <c r="AD330" s="239">
        <f t="shared" si="131"/>
        <v>0</v>
      </c>
      <c r="AE330" s="237"/>
      <c r="AF330" s="237"/>
      <c r="AG330" s="237"/>
      <c r="AH330" s="237"/>
      <c r="AI330" s="237"/>
      <c r="AJ330" s="239">
        <f t="shared" si="132"/>
        <v>0</v>
      </c>
      <c r="AK330" s="237"/>
      <c r="AL330" s="237"/>
      <c r="AM330" s="237"/>
      <c r="AN330" s="237"/>
      <c r="AO330" s="237"/>
      <c r="AP330" s="196">
        <v>348</v>
      </c>
      <c r="AQ330" s="334">
        <f t="shared" si="133"/>
        <v>1.0415035238841035</v>
      </c>
      <c r="AR330" s="207"/>
      <c r="AS330" s="196"/>
      <c r="AT330" s="196"/>
    </row>
    <row r="331" spans="1:46" hidden="1">
      <c r="A331" s="245">
        <f t="shared" si="134"/>
        <v>11</v>
      </c>
      <c r="B331" s="279" t="s">
        <v>387</v>
      </c>
      <c r="C331" s="291">
        <f t="shared" si="125"/>
        <v>1.458</v>
      </c>
      <c r="D331" s="292">
        <v>0.35299999999999998</v>
      </c>
      <c r="E331" s="293">
        <v>0.63400000000000001</v>
      </c>
      <c r="F331" s="293">
        <v>0.47099999999999997</v>
      </c>
      <c r="G331" s="299"/>
      <c r="H331" s="292"/>
      <c r="I331" s="249">
        <f t="shared" si="126"/>
        <v>0.70599999999999996</v>
      </c>
      <c r="J331" s="240">
        <f t="shared" si="127"/>
        <v>0.70599999999999996</v>
      </c>
      <c r="K331" s="196"/>
      <c r="L331" s="196"/>
      <c r="M331" s="196"/>
      <c r="N331" s="196"/>
      <c r="O331" s="196">
        <v>0.70599999999999996</v>
      </c>
      <c r="P331" s="240">
        <f t="shared" si="128"/>
        <v>0</v>
      </c>
      <c r="Q331" s="196"/>
      <c r="R331" s="196"/>
      <c r="S331" s="196"/>
      <c r="T331" s="196"/>
      <c r="U331" s="196"/>
      <c r="V331" s="238">
        <f t="shared" si="129"/>
        <v>268.50987999999995</v>
      </c>
      <c r="W331" s="227">
        <f t="shared" si="130"/>
        <v>1.454</v>
      </c>
      <c r="X331" s="237">
        <v>0.35</v>
      </c>
      <c r="Y331" s="237">
        <v>0.63400000000000001</v>
      </c>
      <c r="Z331" s="237">
        <v>0.47</v>
      </c>
      <c r="AA331" s="237"/>
      <c r="AB331" s="237"/>
      <c r="AC331" s="227">
        <v>0.70599999999999996</v>
      </c>
      <c r="AD331" s="239">
        <f t="shared" si="131"/>
        <v>0.4</v>
      </c>
      <c r="AE331" s="237"/>
      <c r="AF331" s="237">
        <v>0.4</v>
      </c>
      <c r="AG331" s="237"/>
      <c r="AH331" s="237"/>
      <c r="AI331" s="237"/>
      <c r="AJ331" s="239">
        <f t="shared" si="132"/>
        <v>0</v>
      </c>
      <c r="AK331" s="237"/>
      <c r="AL331" s="237"/>
      <c r="AM331" s="237"/>
      <c r="AN331" s="237"/>
      <c r="AO331" s="237"/>
      <c r="AP331" s="196">
        <v>263</v>
      </c>
      <c r="AQ331" s="334">
        <f t="shared" si="133"/>
        <v>0.99725651577503427</v>
      </c>
      <c r="AR331" s="207"/>
      <c r="AS331" s="196"/>
      <c r="AT331" s="196"/>
    </row>
    <row r="332" spans="1:46" hidden="1">
      <c r="A332" s="245">
        <f t="shared" si="134"/>
        <v>12</v>
      </c>
      <c r="B332" s="279" t="s">
        <v>388</v>
      </c>
      <c r="C332" s="291">
        <f t="shared" si="125"/>
        <v>4.2949999999999999</v>
      </c>
      <c r="D332" s="292"/>
      <c r="E332" s="293"/>
      <c r="F332" s="293">
        <v>4.2949999999999999</v>
      </c>
      <c r="G332" s="299"/>
      <c r="H332" s="292"/>
      <c r="I332" s="249">
        <f t="shared" si="126"/>
        <v>0</v>
      </c>
      <c r="J332" s="240">
        <f t="shared" si="127"/>
        <v>0</v>
      </c>
      <c r="K332" s="196"/>
      <c r="L332" s="196"/>
      <c r="M332" s="196"/>
      <c r="N332" s="196"/>
      <c r="O332" s="196"/>
      <c r="P332" s="240">
        <f t="shared" si="128"/>
        <v>0</v>
      </c>
      <c r="Q332" s="196"/>
      <c r="R332" s="196"/>
      <c r="S332" s="196"/>
      <c r="T332" s="196"/>
      <c r="U332" s="196"/>
      <c r="V332" s="238">
        <f t="shared" si="129"/>
        <v>479.8374</v>
      </c>
      <c r="W332" s="227">
        <f t="shared" si="130"/>
        <v>4.28</v>
      </c>
      <c r="X332" s="237"/>
      <c r="Y332" s="237"/>
      <c r="Z332" s="237">
        <v>4.28</v>
      </c>
      <c r="AA332" s="237"/>
      <c r="AB332" s="237"/>
      <c r="AC332" s="227"/>
      <c r="AD332" s="239">
        <f t="shared" si="131"/>
        <v>0</v>
      </c>
      <c r="AE332" s="237"/>
      <c r="AF332" s="237"/>
      <c r="AG332" s="237"/>
      <c r="AH332" s="237"/>
      <c r="AI332" s="237"/>
      <c r="AJ332" s="239">
        <f t="shared" si="132"/>
        <v>0</v>
      </c>
      <c r="AK332" s="237"/>
      <c r="AL332" s="237"/>
      <c r="AM332" s="237"/>
      <c r="AN332" s="237"/>
      <c r="AO332" s="237"/>
      <c r="AP332" s="196">
        <v>429</v>
      </c>
      <c r="AQ332" s="334">
        <f t="shared" si="133"/>
        <v>0.99650756693830045</v>
      </c>
      <c r="AR332" s="207"/>
      <c r="AS332" s="196"/>
      <c r="AT332" s="196"/>
    </row>
    <row r="333" spans="1:46" hidden="1">
      <c r="A333" s="245">
        <f t="shared" si="134"/>
        <v>13</v>
      </c>
      <c r="B333" s="279" t="s">
        <v>389</v>
      </c>
      <c r="C333" s="291">
        <f t="shared" si="125"/>
        <v>10.44</v>
      </c>
      <c r="D333" s="292"/>
      <c r="E333" s="293">
        <v>5.0369999999999999</v>
      </c>
      <c r="F333" s="293">
        <v>5.4029999999999996</v>
      </c>
      <c r="G333" s="299"/>
      <c r="H333" s="292"/>
      <c r="I333" s="249">
        <f t="shared" si="126"/>
        <v>0</v>
      </c>
      <c r="J333" s="240">
        <f t="shared" si="127"/>
        <v>0</v>
      </c>
      <c r="K333" s="196"/>
      <c r="L333" s="196"/>
      <c r="M333" s="196"/>
      <c r="N333" s="196"/>
      <c r="O333" s="196"/>
      <c r="P333" s="240">
        <f t="shared" si="128"/>
        <v>0</v>
      </c>
      <c r="Q333" s="196"/>
      <c r="R333" s="196"/>
      <c r="S333" s="196"/>
      <c r="T333" s="196"/>
      <c r="U333" s="196"/>
      <c r="V333" s="238">
        <f t="shared" si="129"/>
        <v>1475.2256399999999</v>
      </c>
      <c r="W333" s="227">
        <f t="shared" si="130"/>
        <v>10.1</v>
      </c>
      <c r="X333" s="237"/>
      <c r="Y333" s="237">
        <v>3.4</v>
      </c>
      <c r="Z333" s="237">
        <v>6.7</v>
      </c>
      <c r="AA333" s="237"/>
      <c r="AB333" s="237"/>
      <c r="AC333" s="227"/>
      <c r="AD333" s="239">
        <f t="shared" si="131"/>
        <v>0</v>
      </c>
      <c r="AE333" s="237"/>
      <c r="AF333" s="237"/>
      <c r="AG333" s="237"/>
      <c r="AH333" s="237"/>
      <c r="AI333" s="237"/>
      <c r="AJ333" s="239">
        <f t="shared" si="132"/>
        <v>0</v>
      </c>
      <c r="AK333" s="237"/>
      <c r="AL333" s="237"/>
      <c r="AM333" s="237"/>
      <c r="AN333" s="237"/>
      <c r="AO333" s="237"/>
      <c r="AP333" s="196">
        <v>1339</v>
      </c>
      <c r="AQ333" s="334">
        <f t="shared" si="133"/>
        <v>0.96743295019157094</v>
      </c>
      <c r="AR333" s="207"/>
      <c r="AS333" s="196"/>
      <c r="AT333" s="196"/>
    </row>
    <row r="334" spans="1:46" hidden="1">
      <c r="A334" s="245">
        <f t="shared" si="134"/>
        <v>14</v>
      </c>
      <c r="B334" s="279" t="s">
        <v>390</v>
      </c>
      <c r="C334" s="291">
        <f t="shared" si="125"/>
        <v>2.0880000000000001</v>
      </c>
      <c r="D334" s="292"/>
      <c r="E334" s="293">
        <v>0.10199999999999999</v>
      </c>
      <c r="F334" s="293">
        <v>1.986</v>
      </c>
      <c r="G334" s="299"/>
      <c r="H334" s="292"/>
      <c r="I334" s="249">
        <f t="shared" si="126"/>
        <v>0</v>
      </c>
      <c r="J334" s="240">
        <f t="shared" si="127"/>
        <v>0</v>
      </c>
      <c r="K334" s="196"/>
      <c r="L334" s="196"/>
      <c r="M334" s="196"/>
      <c r="N334" s="196"/>
      <c r="O334" s="196"/>
      <c r="P334" s="240">
        <f t="shared" si="128"/>
        <v>0</v>
      </c>
      <c r="Q334" s="196"/>
      <c r="R334" s="196"/>
      <c r="S334" s="196"/>
      <c r="T334" s="196"/>
      <c r="U334" s="196"/>
      <c r="V334" s="238">
        <f t="shared" si="129"/>
        <v>239.52600000000001</v>
      </c>
      <c r="W334" s="227">
        <f t="shared" si="130"/>
        <v>2.702</v>
      </c>
      <c r="X334" s="237"/>
      <c r="Y334" s="237">
        <v>0.10199999999999999</v>
      </c>
      <c r="Z334" s="237">
        <v>2.6</v>
      </c>
      <c r="AA334" s="237"/>
      <c r="AB334" s="237"/>
      <c r="AC334" s="227"/>
      <c r="AD334" s="239">
        <f t="shared" si="131"/>
        <v>0</v>
      </c>
      <c r="AE334" s="237"/>
      <c r="AF334" s="237"/>
      <c r="AG334" s="237"/>
      <c r="AH334" s="237"/>
      <c r="AI334" s="237"/>
      <c r="AJ334" s="239">
        <f t="shared" si="132"/>
        <v>0</v>
      </c>
      <c r="AK334" s="237"/>
      <c r="AL334" s="237"/>
      <c r="AM334" s="237"/>
      <c r="AN334" s="237"/>
      <c r="AO334" s="237"/>
      <c r="AP334" s="196">
        <v>311</v>
      </c>
      <c r="AQ334" s="334">
        <f t="shared" si="133"/>
        <v>1.2940613026819923</v>
      </c>
      <c r="AR334" s="207"/>
      <c r="AS334" s="196"/>
      <c r="AT334" s="196"/>
    </row>
    <row r="335" spans="1:46" hidden="1">
      <c r="A335" s="245">
        <f t="shared" si="134"/>
        <v>15</v>
      </c>
      <c r="B335" s="279" t="s">
        <v>391</v>
      </c>
      <c r="C335" s="291">
        <f t="shared" si="125"/>
        <v>6.25</v>
      </c>
      <c r="D335" s="292"/>
      <c r="E335" s="293">
        <v>1.4</v>
      </c>
      <c r="F335" s="293">
        <v>3.45</v>
      </c>
      <c r="G335" s="299">
        <v>1.4</v>
      </c>
      <c r="H335" s="292"/>
      <c r="I335" s="249">
        <f t="shared" si="126"/>
        <v>0</v>
      </c>
      <c r="J335" s="240">
        <f t="shared" si="127"/>
        <v>0</v>
      </c>
      <c r="K335" s="196"/>
      <c r="L335" s="196"/>
      <c r="M335" s="196"/>
      <c r="N335" s="196"/>
      <c r="O335" s="196"/>
      <c r="P335" s="240">
        <f t="shared" si="128"/>
        <v>0</v>
      </c>
      <c r="Q335" s="196"/>
      <c r="R335" s="196"/>
      <c r="S335" s="196"/>
      <c r="T335" s="196"/>
      <c r="U335" s="196"/>
      <c r="V335" s="238">
        <f t="shared" si="129"/>
        <v>784.09800000000007</v>
      </c>
      <c r="W335" s="227">
        <f t="shared" si="130"/>
        <v>6.7100000000000009</v>
      </c>
      <c r="X335" s="237"/>
      <c r="Y335" s="237">
        <v>1.28</v>
      </c>
      <c r="Z335" s="237">
        <v>3.5</v>
      </c>
      <c r="AA335" s="237">
        <v>1.28</v>
      </c>
      <c r="AB335" s="237">
        <v>0.65</v>
      </c>
      <c r="AC335" s="227"/>
      <c r="AD335" s="239">
        <f t="shared" si="131"/>
        <v>0</v>
      </c>
      <c r="AE335" s="237"/>
      <c r="AF335" s="237"/>
      <c r="AG335" s="237"/>
      <c r="AH335" s="237"/>
      <c r="AI335" s="237"/>
      <c r="AJ335" s="239">
        <f t="shared" si="132"/>
        <v>0</v>
      </c>
      <c r="AK335" s="237"/>
      <c r="AL335" s="237"/>
      <c r="AM335" s="237"/>
      <c r="AN335" s="237"/>
      <c r="AO335" s="237"/>
      <c r="AP335" s="196">
        <v>886</v>
      </c>
      <c r="AQ335" s="334">
        <f t="shared" si="133"/>
        <v>1.0736000000000001</v>
      </c>
      <c r="AR335" s="207"/>
      <c r="AS335" s="196"/>
      <c r="AT335" s="196"/>
    </row>
    <row r="336" spans="1:46" hidden="1">
      <c r="A336" s="245">
        <f t="shared" si="134"/>
        <v>16</v>
      </c>
      <c r="B336" s="279" t="s">
        <v>392</v>
      </c>
      <c r="C336" s="291">
        <f t="shared" si="125"/>
        <v>3.1</v>
      </c>
      <c r="D336" s="292"/>
      <c r="E336" s="293"/>
      <c r="F336" s="293">
        <v>2.6</v>
      </c>
      <c r="G336" s="292"/>
      <c r="H336" s="292">
        <v>0.5</v>
      </c>
      <c r="I336" s="249">
        <f t="shared" si="126"/>
        <v>0</v>
      </c>
      <c r="J336" s="240">
        <f t="shared" si="127"/>
        <v>0</v>
      </c>
      <c r="K336" s="196"/>
      <c r="L336" s="196"/>
      <c r="M336" s="196"/>
      <c r="N336" s="196"/>
      <c r="O336" s="196"/>
      <c r="P336" s="240">
        <f t="shared" si="128"/>
        <v>0</v>
      </c>
      <c r="Q336" s="196"/>
      <c r="R336" s="196"/>
      <c r="S336" s="196"/>
      <c r="T336" s="196"/>
      <c r="U336" s="196"/>
      <c r="V336" s="238">
        <f t="shared" si="129"/>
        <v>354.31200000000001</v>
      </c>
      <c r="W336" s="227">
        <f t="shared" si="130"/>
        <v>3.76</v>
      </c>
      <c r="X336" s="237"/>
      <c r="Y336" s="237"/>
      <c r="Z336" s="237">
        <v>3.76</v>
      </c>
      <c r="AA336" s="237"/>
      <c r="AB336" s="237"/>
      <c r="AC336" s="227"/>
      <c r="AD336" s="239">
        <f t="shared" si="131"/>
        <v>0</v>
      </c>
      <c r="AE336" s="237"/>
      <c r="AF336" s="237"/>
      <c r="AG336" s="237"/>
      <c r="AH336" s="237"/>
      <c r="AI336" s="237"/>
      <c r="AJ336" s="239">
        <f t="shared" si="132"/>
        <v>0</v>
      </c>
      <c r="AK336" s="237"/>
      <c r="AL336" s="237"/>
      <c r="AM336" s="237"/>
      <c r="AN336" s="237"/>
      <c r="AO336" s="237"/>
      <c r="AP336" s="196">
        <v>419</v>
      </c>
      <c r="AQ336" s="334">
        <f t="shared" si="133"/>
        <v>1.2129032258064516</v>
      </c>
      <c r="AR336" s="207"/>
      <c r="AS336" s="196"/>
      <c r="AT336" s="196"/>
    </row>
    <row r="337" spans="1:46" hidden="1">
      <c r="A337" s="245">
        <f t="shared" si="134"/>
        <v>17</v>
      </c>
      <c r="B337" s="279" t="s">
        <v>393</v>
      </c>
      <c r="C337" s="291">
        <f t="shared" si="125"/>
        <v>1.5</v>
      </c>
      <c r="D337" s="292"/>
      <c r="E337" s="293"/>
      <c r="F337" s="293">
        <v>1.5</v>
      </c>
      <c r="G337" s="292"/>
      <c r="H337" s="292"/>
      <c r="I337" s="249">
        <f t="shared" si="126"/>
        <v>0</v>
      </c>
      <c r="J337" s="240">
        <f t="shared" si="127"/>
        <v>0</v>
      </c>
      <c r="K337" s="196"/>
      <c r="L337" s="196"/>
      <c r="M337" s="196"/>
      <c r="N337" s="196"/>
      <c r="O337" s="196"/>
      <c r="P337" s="240">
        <f t="shared" si="128"/>
        <v>0</v>
      </c>
      <c r="Q337" s="196"/>
      <c r="R337" s="196"/>
      <c r="S337" s="196"/>
      <c r="T337" s="196"/>
      <c r="U337" s="196"/>
      <c r="V337" s="238">
        <f t="shared" si="129"/>
        <v>167.57999999999998</v>
      </c>
      <c r="W337" s="227">
        <f t="shared" si="130"/>
        <v>2.8</v>
      </c>
      <c r="X337" s="237"/>
      <c r="Y337" s="237"/>
      <c r="Z337" s="237">
        <v>2.8</v>
      </c>
      <c r="AA337" s="237"/>
      <c r="AB337" s="237"/>
      <c r="AC337" s="227"/>
      <c r="AD337" s="239">
        <f t="shared" si="131"/>
        <v>0</v>
      </c>
      <c r="AE337" s="237"/>
      <c r="AF337" s="237"/>
      <c r="AG337" s="237"/>
      <c r="AH337" s="237"/>
      <c r="AI337" s="237"/>
      <c r="AJ337" s="239">
        <f t="shared" si="132"/>
        <v>0</v>
      </c>
      <c r="AK337" s="237"/>
      <c r="AL337" s="237"/>
      <c r="AM337" s="237"/>
      <c r="AN337" s="237"/>
      <c r="AO337" s="237"/>
      <c r="AP337" s="196">
        <v>269</v>
      </c>
      <c r="AQ337" s="334">
        <f t="shared" si="133"/>
        <v>1.8666666666666665</v>
      </c>
      <c r="AR337" s="207"/>
      <c r="AS337" s="196"/>
      <c r="AT337" s="196"/>
    </row>
    <row r="338" spans="1:46" hidden="1">
      <c r="A338" s="245">
        <f t="shared" si="134"/>
        <v>18</v>
      </c>
      <c r="B338" s="279" t="s">
        <v>394</v>
      </c>
      <c r="C338" s="291">
        <f t="shared" si="125"/>
        <v>3.22</v>
      </c>
      <c r="D338" s="292"/>
      <c r="E338" s="293"/>
      <c r="F338" s="293">
        <v>3</v>
      </c>
      <c r="G338" s="292">
        <v>0.22</v>
      </c>
      <c r="H338" s="292"/>
      <c r="I338" s="249">
        <f t="shared" si="126"/>
        <v>0</v>
      </c>
      <c r="J338" s="240">
        <f t="shared" si="127"/>
        <v>0</v>
      </c>
      <c r="K338" s="196"/>
      <c r="L338" s="196"/>
      <c r="M338" s="196"/>
      <c r="N338" s="196"/>
      <c r="O338" s="196"/>
      <c r="P338" s="240">
        <f t="shared" si="128"/>
        <v>0</v>
      </c>
      <c r="Q338" s="196"/>
      <c r="R338" s="196"/>
      <c r="S338" s="196"/>
      <c r="T338" s="196"/>
      <c r="U338" s="196"/>
      <c r="V338" s="238">
        <f t="shared" si="129"/>
        <v>359.73839999999996</v>
      </c>
      <c r="W338" s="227">
        <f t="shared" si="130"/>
        <v>3.22</v>
      </c>
      <c r="X338" s="237"/>
      <c r="Y338" s="237"/>
      <c r="Z338" s="237">
        <v>3</v>
      </c>
      <c r="AA338" s="237">
        <v>0.22</v>
      </c>
      <c r="AB338" s="237"/>
      <c r="AC338" s="227"/>
      <c r="AD338" s="239">
        <f t="shared" si="131"/>
        <v>0</v>
      </c>
      <c r="AE338" s="237"/>
      <c r="AF338" s="237"/>
      <c r="AG338" s="237"/>
      <c r="AH338" s="237"/>
      <c r="AI338" s="237"/>
      <c r="AJ338" s="239">
        <f t="shared" si="132"/>
        <v>0</v>
      </c>
      <c r="AK338" s="237"/>
      <c r="AL338" s="237"/>
      <c r="AM338" s="237"/>
      <c r="AN338" s="237"/>
      <c r="AO338" s="237"/>
      <c r="AP338" s="196">
        <v>362</v>
      </c>
      <c r="AQ338" s="334">
        <f t="shared" si="133"/>
        <v>1</v>
      </c>
      <c r="AR338" s="207"/>
      <c r="AS338" s="196"/>
      <c r="AT338" s="196"/>
    </row>
    <row r="339" spans="1:46" hidden="1">
      <c r="A339" s="245">
        <f t="shared" si="134"/>
        <v>19</v>
      </c>
      <c r="B339" s="279" t="s">
        <v>395</v>
      </c>
      <c r="C339" s="291">
        <f t="shared" si="125"/>
        <v>5.9850000000000003</v>
      </c>
      <c r="D339" s="292"/>
      <c r="E339" s="293">
        <v>0.78500000000000003</v>
      </c>
      <c r="F339" s="293">
        <v>5.2</v>
      </c>
      <c r="G339" s="292"/>
      <c r="H339" s="292"/>
      <c r="I339" s="249">
        <f t="shared" si="126"/>
        <v>0</v>
      </c>
      <c r="J339" s="240">
        <f t="shared" si="127"/>
        <v>0</v>
      </c>
      <c r="K339" s="196"/>
      <c r="L339" s="196"/>
      <c r="M339" s="196"/>
      <c r="N339" s="196"/>
      <c r="O339" s="196"/>
      <c r="P339" s="240">
        <f t="shared" si="128"/>
        <v>0</v>
      </c>
      <c r="Q339" s="196"/>
      <c r="R339" s="196"/>
      <c r="S339" s="196"/>
      <c r="T339" s="196"/>
      <c r="U339" s="196"/>
      <c r="V339" s="238">
        <f t="shared" si="129"/>
        <v>716.78039999999999</v>
      </c>
      <c r="W339" s="227">
        <f t="shared" si="130"/>
        <v>6.0150000000000006</v>
      </c>
      <c r="X339" s="237"/>
      <c r="Y339" s="237">
        <v>0.78500000000000003</v>
      </c>
      <c r="Z339" s="237">
        <v>5.23</v>
      </c>
      <c r="AA339" s="237"/>
      <c r="AB339" s="237"/>
      <c r="AC339" s="227"/>
      <c r="AD339" s="239">
        <f t="shared" si="131"/>
        <v>0</v>
      </c>
      <c r="AE339" s="237"/>
      <c r="AF339" s="237"/>
      <c r="AG339" s="237"/>
      <c r="AH339" s="237"/>
      <c r="AI339" s="237"/>
      <c r="AJ339" s="239">
        <f t="shared" si="132"/>
        <v>0</v>
      </c>
      <c r="AK339" s="237"/>
      <c r="AL339" s="237"/>
      <c r="AM339" s="237"/>
      <c r="AN339" s="237"/>
      <c r="AO339" s="237"/>
      <c r="AP339" s="196">
        <v>720</v>
      </c>
      <c r="AQ339" s="334">
        <f t="shared" si="133"/>
        <v>1.0050125313283209</v>
      </c>
      <c r="AR339" s="207"/>
      <c r="AS339" s="196"/>
      <c r="AT339" s="196"/>
    </row>
    <row r="340" spans="1:46" hidden="1">
      <c r="A340" s="245">
        <f t="shared" si="134"/>
        <v>20</v>
      </c>
      <c r="B340" s="279" t="s">
        <v>396</v>
      </c>
      <c r="C340" s="291">
        <f t="shared" si="125"/>
        <v>3</v>
      </c>
      <c r="D340" s="300"/>
      <c r="E340" s="293"/>
      <c r="F340" s="293">
        <v>3</v>
      </c>
      <c r="G340" s="292"/>
      <c r="H340" s="292"/>
      <c r="I340" s="249">
        <f t="shared" si="126"/>
        <v>0</v>
      </c>
      <c r="J340" s="240">
        <f t="shared" si="127"/>
        <v>0</v>
      </c>
      <c r="K340" s="196"/>
      <c r="L340" s="196"/>
      <c r="M340" s="196"/>
      <c r="N340" s="196"/>
      <c r="O340" s="196"/>
      <c r="P340" s="240">
        <f t="shared" si="128"/>
        <v>0</v>
      </c>
      <c r="Q340" s="196"/>
      <c r="R340" s="196"/>
      <c r="S340" s="196"/>
      <c r="T340" s="196"/>
      <c r="U340" s="196"/>
      <c r="V340" s="238">
        <f t="shared" si="129"/>
        <v>335.15999999999997</v>
      </c>
      <c r="W340" s="227">
        <f t="shared" si="130"/>
        <v>3.8</v>
      </c>
      <c r="X340" s="237"/>
      <c r="Y340" s="237"/>
      <c r="Z340" s="237">
        <v>3.8</v>
      </c>
      <c r="AA340" s="237"/>
      <c r="AB340" s="237"/>
      <c r="AC340" s="227"/>
      <c r="AD340" s="239">
        <f t="shared" si="131"/>
        <v>0</v>
      </c>
      <c r="AE340" s="237"/>
      <c r="AF340" s="237"/>
      <c r="AG340" s="237"/>
      <c r="AH340" s="237"/>
      <c r="AI340" s="237"/>
      <c r="AJ340" s="239">
        <f t="shared" si="132"/>
        <v>0</v>
      </c>
      <c r="AK340" s="237"/>
      <c r="AL340" s="237"/>
      <c r="AM340" s="237"/>
      <c r="AN340" s="237"/>
      <c r="AO340" s="237"/>
      <c r="AP340" s="196">
        <v>427</v>
      </c>
      <c r="AQ340" s="334">
        <f t="shared" si="133"/>
        <v>1.2666666666666666</v>
      </c>
      <c r="AR340" s="207"/>
      <c r="AS340" s="196"/>
      <c r="AT340" s="196"/>
    </row>
    <row r="341" spans="1:46" hidden="1">
      <c r="A341" s="245">
        <f t="shared" si="134"/>
        <v>21</v>
      </c>
      <c r="B341" s="279" t="s">
        <v>397</v>
      </c>
      <c r="C341" s="291">
        <f t="shared" si="125"/>
        <v>3.17</v>
      </c>
      <c r="D341" s="292"/>
      <c r="E341" s="293">
        <v>1.304</v>
      </c>
      <c r="F341" s="293">
        <v>1.8660000000000001</v>
      </c>
      <c r="G341" s="292"/>
      <c r="H341" s="292"/>
      <c r="I341" s="249">
        <f t="shared" si="126"/>
        <v>0</v>
      </c>
      <c r="J341" s="240">
        <f t="shared" si="127"/>
        <v>0</v>
      </c>
      <c r="K341" s="196"/>
      <c r="L341" s="196"/>
      <c r="M341" s="196"/>
      <c r="N341" s="196"/>
      <c r="O341" s="196"/>
      <c r="P341" s="240">
        <f t="shared" si="128"/>
        <v>0</v>
      </c>
      <c r="Q341" s="196"/>
      <c r="R341" s="196"/>
      <c r="S341" s="196"/>
      <c r="T341" s="196"/>
      <c r="U341" s="196"/>
      <c r="V341" s="238">
        <f t="shared" si="129"/>
        <v>434.11368000000004</v>
      </c>
      <c r="W341" s="227">
        <f t="shared" si="130"/>
        <v>3</v>
      </c>
      <c r="X341" s="237"/>
      <c r="Y341" s="237">
        <v>1.5</v>
      </c>
      <c r="Z341" s="237">
        <v>1.5</v>
      </c>
      <c r="AA341" s="237"/>
      <c r="AB341" s="237"/>
      <c r="AC341" s="227"/>
      <c r="AD341" s="239">
        <f t="shared" si="131"/>
        <v>0</v>
      </c>
      <c r="AE341" s="237"/>
      <c r="AF341" s="237"/>
      <c r="AG341" s="237"/>
      <c r="AH341" s="237"/>
      <c r="AI341" s="237"/>
      <c r="AJ341" s="239">
        <f t="shared" si="132"/>
        <v>0</v>
      </c>
      <c r="AK341" s="237"/>
      <c r="AL341" s="237"/>
      <c r="AM341" s="237"/>
      <c r="AN341" s="237"/>
      <c r="AO341" s="237"/>
      <c r="AP341" s="196">
        <v>434</v>
      </c>
      <c r="AQ341" s="334">
        <f t="shared" si="133"/>
        <v>0.94637223974763407</v>
      </c>
      <c r="AR341" s="207"/>
      <c r="AS341" s="196"/>
      <c r="AT341" s="196"/>
    </row>
    <row r="342" spans="1:46" hidden="1">
      <c r="A342" s="245">
        <f t="shared" si="134"/>
        <v>22</v>
      </c>
      <c r="B342" s="279" t="s">
        <v>398</v>
      </c>
      <c r="C342" s="291">
        <f t="shared" si="125"/>
        <v>2.6150000000000002</v>
      </c>
      <c r="D342" s="292"/>
      <c r="E342" s="293">
        <v>1.615</v>
      </c>
      <c r="F342" s="293">
        <v>1</v>
      </c>
      <c r="G342" s="292"/>
      <c r="H342" s="292"/>
      <c r="I342" s="249">
        <f t="shared" si="126"/>
        <v>0</v>
      </c>
      <c r="J342" s="240">
        <f t="shared" si="127"/>
        <v>0</v>
      </c>
      <c r="K342" s="196"/>
      <c r="L342" s="196"/>
      <c r="M342" s="196"/>
      <c r="N342" s="196"/>
      <c r="O342" s="196"/>
      <c r="P342" s="240">
        <f t="shared" si="128"/>
        <v>0</v>
      </c>
      <c r="Q342" s="196"/>
      <c r="R342" s="196"/>
      <c r="S342" s="196"/>
      <c r="T342" s="196"/>
      <c r="U342" s="196"/>
      <c r="V342" s="238">
        <f t="shared" si="129"/>
        <v>391.17959999999994</v>
      </c>
      <c r="W342" s="227">
        <f t="shared" si="130"/>
        <v>2.9</v>
      </c>
      <c r="X342" s="237"/>
      <c r="Y342" s="237">
        <v>0.4</v>
      </c>
      <c r="Z342" s="237">
        <v>2.5</v>
      </c>
      <c r="AA342" s="237"/>
      <c r="AB342" s="237"/>
      <c r="AC342" s="227"/>
      <c r="AD342" s="239">
        <f t="shared" si="131"/>
        <v>0</v>
      </c>
      <c r="AE342" s="237"/>
      <c r="AF342" s="237"/>
      <c r="AG342" s="237"/>
      <c r="AH342" s="237"/>
      <c r="AI342" s="237"/>
      <c r="AJ342" s="239">
        <f t="shared" si="132"/>
        <v>0</v>
      </c>
      <c r="AK342" s="237"/>
      <c r="AL342" s="237"/>
      <c r="AM342" s="237"/>
      <c r="AN342" s="237"/>
      <c r="AO342" s="237"/>
      <c r="AP342" s="196">
        <v>403</v>
      </c>
      <c r="AQ342" s="334">
        <f t="shared" si="133"/>
        <v>1.1089866156787762</v>
      </c>
      <c r="AR342" s="207"/>
      <c r="AS342" s="196"/>
      <c r="AT342" s="196"/>
    </row>
    <row r="343" spans="1:46" hidden="1">
      <c r="A343" s="245">
        <f t="shared" si="134"/>
        <v>23</v>
      </c>
      <c r="B343" s="279" t="s">
        <v>399</v>
      </c>
      <c r="C343" s="291">
        <f t="shared" si="125"/>
        <v>1.8140000000000001</v>
      </c>
      <c r="D343" s="292"/>
      <c r="E343" s="293">
        <v>1.3</v>
      </c>
      <c r="F343" s="293">
        <v>0.51400000000000001</v>
      </c>
      <c r="G343" s="299"/>
      <c r="H343" s="292"/>
      <c r="I343" s="249">
        <f t="shared" si="126"/>
        <v>0</v>
      </c>
      <c r="J343" s="240">
        <f t="shared" si="127"/>
        <v>0</v>
      </c>
      <c r="K343" s="196"/>
      <c r="L343" s="196"/>
      <c r="M343" s="196"/>
      <c r="N343" s="196"/>
      <c r="O343" s="196"/>
      <c r="P343" s="240">
        <f t="shared" si="128"/>
        <v>0</v>
      </c>
      <c r="Q343" s="196"/>
      <c r="R343" s="196"/>
      <c r="S343" s="196"/>
      <c r="T343" s="196"/>
      <c r="U343" s="196"/>
      <c r="V343" s="238">
        <f t="shared" si="129"/>
        <v>282.37608</v>
      </c>
      <c r="W343" s="227">
        <f t="shared" si="130"/>
        <v>1.6</v>
      </c>
      <c r="X343" s="237"/>
      <c r="Y343" s="237">
        <v>0.25</v>
      </c>
      <c r="Z343" s="237">
        <v>0.4</v>
      </c>
      <c r="AA343" s="237">
        <v>0.95</v>
      </c>
      <c r="AB343" s="237"/>
      <c r="AC343" s="227"/>
      <c r="AD343" s="239">
        <f t="shared" si="131"/>
        <v>0</v>
      </c>
      <c r="AE343" s="237"/>
      <c r="AF343" s="237"/>
      <c r="AG343" s="237"/>
      <c r="AH343" s="237"/>
      <c r="AI343" s="237"/>
      <c r="AJ343" s="239">
        <f t="shared" si="132"/>
        <v>0</v>
      </c>
      <c r="AK343" s="237"/>
      <c r="AL343" s="237"/>
      <c r="AM343" s="237"/>
      <c r="AN343" s="237"/>
      <c r="AO343" s="237"/>
      <c r="AP343" s="196">
        <v>395</v>
      </c>
      <c r="AQ343" s="334">
        <f t="shared" si="133"/>
        <v>0.88202866593164275</v>
      </c>
      <c r="AR343" s="207"/>
      <c r="AS343" s="196"/>
      <c r="AT343" s="196"/>
    </row>
    <row r="344" spans="1:46" hidden="1">
      <c r="A344" s="245">
        <f t="shared" si="134"/>
        <v>24</v>
      </c>
      <c r="B344" s="279" t="s">
        <v>400</v>
      </c>
      <c r="C344" s="291">
        <f t="shared" si="125"/>
        <v>7.89</v>
      </c>
      <c r="D344" s="292"/>
      <c r="E344" s="293">
        <v>2.9</v>
      </c>
      <c r="F344" s="293">
        <v>4.8</v>
      </c>
      <c r="G344" s="299">
        <v>0.19</v>
      </c>
      <c r="H344" s="292"/>
      <c r="I344" s="249">
        <f t="shared" si="126"/>
        <v>0</v>
      </c>
      <c r="J344" s="240">
        <f t="shared" si="127"/>
        <v>0</v>
      </c>
      <c r="K344" s="196"/>
      <c r="L344" s="196"/>
      <c r="M344" s="196"/>
      <c r="N344" s="196"/>
      <c r="O344" s="196"/>
      <c r="P344" s="240">
        <f t="shared" si="128"/>
        <v>0</v>
      </c>
      <c r="Q344" s="196"/>
      <c r="R344" s="196"/>
      <c r="S344" s="196"/>
      <c r="T344" s="196"/>
      <c r="U344" s="196"/>
      <c r="V344" s="238">
        <f t="shared" si="129"/>
        <v>1059.2987999999998</v>
      </c>
      <c r="W344" s="227">
        <f t="shared" si="130"/>
        <v>7.4849999999999994</v>
      </c>
      <c r="X344" s="237"/>
      <c r="Y344" s="237">
        <v>2.7</v>
      </c>
      <c r="Z344" s="237">
        <v>4.5999999999999996</v>
      </c>
      <c r="AA344" s="237">
        <v>0.185</v>
      </c>
      <c r="AB344" s="237"/>
      <c r="AC344" s="227"/>
      <c r="AD344" s="239">
        <f t="shared" si="131"/>
        <v>0</v>
      </c>
      <c r="AE344" s="237"/>
      <c r="AF344" s="237"/>
      <c r="AG344" s="237"/>
      <c r="AH344" s="237"/>
      <c r="AI344" s="237"/>
      <c r="AJ344" s="239">
        <f t="shared" si="132"/>
        <v>0</v>
      </c>
      <c r="AK344" s="237"/>
      <c r="AL344" s="237"/>
      <c r="AM344" s="237"/>
      <c r="AN344" s="237"/>
      <c r="AO344" s="237"/>
      <c r="AP344" s="196">
        <v>1037</v>
      </c>
      <c r="AQ344" s="334">
        <f t="shared" si="133"/>
        <v>0.9486692015209125</v>
      </c>
      <c r="AR344" s="207"/>
      <c r="AS344" s="196"/>
      <c r="AT344" s="196"/>
    </row>
    <row r="345" spans="1:46" hidden="1">
      <c r="A345" s="245">
        <f t="shared" si="134"/>
        <v>25</v>
      </c>
      <c r="B345" s="279" t="s">
        <v>401</v>
      </c>
      <c r="C345" s="291">
        <f t="shared" si="125"/>
        <v>1</v>
      </c>
      <c r="D345" s="292"/>
      <c r="E345" s="293"/>
      <c r="F345" s="293">
        <v>0.245</v>
      </c>
      <c r="G345" s="299">
        <v>0.755</v>
      </c>
      <c r="H345" s="292"/>
      <c r="I345" s="249">
        <f t="shared" si="126"/>
        <v>0</v>
      </c>
      <c r="J345" s="240">
        <f t="shared" si="127"/>
        <v>0</v>
      </c>
      <c r="K345" s="196"/>
      <c r="L345" s="196"/>
      <c r="M345" s="196"/>
      <c r="N345" s="196"/>
      <c r="O345" s="196"/>
      <c r="P345" s="240">
        <f t="shared" si="128"/>
        <v>0</v>
      </c>
      <c r="Q345" s="196"/>
      <c r="R345" s="196"/>
      <c r="S345" s="196"/>
      <c r="T345" s="196"/>
      <c r="U345" s="196"/>
      <c r="V345" s="238">
        <f t="shared" si="129"/>
        <v>111.72</v>
      </c>
      <c r="W345" s="227">
        <f t="shared" si="130"/>
        <v>0.3</v>
      </c>
      <c r="X345" s="237"/>
      <c r="Y345" s="237"/>
      <c r="Z345" s="237">
        <v>0.3</v>
      </c>
      <c r="AA345" s="237"/>
      <c r="AB345" s="237"/>
      <c r="AC345" s="227"/>
      <c r="AD345" s="239">
        <f t="shared" si="131"/>
        <v>0</v>
      </c>
      <c r="AE345" s="237"/>
      <c r="AF345" s="237"/>
      <c r="AG345" s="237"/>
      <c r="AH345" s="237"/>
      <c r="AI345" s="237"/>
      <c r="AJ345" s="239">
        <f t="shared" si="132"/>
        <v>0</v>
      </c>
      <c r="AK345" s="237"/>
      <c r="AL345" s="237"/>
      <c r="AM345" s="237"/>
      <c r="AN345" s="237"/>
      <c r="AO345" s="237"/>
      <c r="AP345" s="196">
        <v>35</v>
      </c>
      <c r="AQ345" s="334">
        <f t="shared" si="133"/>
        <v>0.3</v>
      </c>
      <c r="AR345" s="207"/>
      <c r="AS345" s="196"/>
      <c r="AT345" s="196"/>
    </row>
    <row r="346" spans="1:46" hidden="1">
      <c r="A346" s="245">
        <f t="shared" si="134"/>
        <v>26</v>
      </c>
      <c r="B346" s="279" t="s">
        <v>402</v>
      </c>
      <c r="C346" s="291">
        <f t="shared" si="125"/>
        <v>6.71</v>
      </c>
      <c r="D346" s="292"/>
      <c r="E346" s="293">
        <v>1.4</v>
      </c>
      <c r="F346" s="293">
        <v>4.2</v>
      </c>
      <c r="G346" s="299">
        <v>1.1100000000000001</v>
      </c>
      <c r="H346" s="292"/>
      <c r="I346" s="249">
        <f t="shared" si="126"/>
        <v>2</v>
      </c>
      <c r="J346" s="240">
        <f t="shared" si="127"/>
        <v>0</v>
      </c>
      <c r="K346" s="196"/>
      <c r="L346" s="196"/>
      <c r="M346" s="196"/>
      <c r="N346" s="196"/>
      <c r="O346" s="196"/>
      <c r="P346" s="240">
        <f t="shared" si="128"/>
        <v>2</v>
      </c>
      <c r="Q346" s="196"/>
      <c r="R346" s="196">
        <v>1.6</v>
      </c>
      <c r="S346" s="196"/>
      <c r="T346" s="196">
        <v>0.4</v>
      </c>
      <c r="U346" s="196"/>
      <c r="V346" s="238">
        <f t="shared" si="129"/>
        <v>953.16039999999998</v>
      </c>
      <c r="W346" s="227">
        <f t="shared" si="130"/>
        <v>7.31</v>
      </c>
      <c r="X346" s="237"/>
      <c r="Y346" s="237">
        <v>1.4</v>
      </c>
      <c r="Z346" s="237">
        <v>4.8</v>
      </c>
      <c r="AA346" s="237">
        <v>1.1100000000000001</v>
      </c>
      <c r="AB346" s="237"/>
      <c r="AC346" s="227"/>
      <c r="AD346" s="239">
        <f t="shared" si="131"/>
        <v>0</v>
      </c>
      <c r="AE346" s="237"/>
      <c r="AF346" s="237"/>
      <c r="AG346" s="237"/>
      <c r="AH346" s="237"/>
      <c r="AI346" s="237"/>
      <c r="AJ346" s="239">
        <f t="shared" si="132"/>
        <v>0</v>
      </c>
      <c r="AK346" s="237"/>
      <c r="AL346" s="237"/>
      <c r="AM346" s="237"/>
      <c r="AN346" s="237"/>
      <c r="AO346" s="237"/>
      <c r="AP346" s="196">
        <v>913</v>
      </c>
      <c r="AQ346" s="334">
        <f t="shared" si="133"/>
        <v>1.0894187779433679</v>
      </c>
      <c r="AR346" s="207">
        <f>AC346/I346</f>
        <v>0</v>
      </c>
      <c r="AS346" s="196"/>
      <c r="AT346" s="196"/>
    </row>
    <row r="347" spans="1:46" hidden="1">
      <c r="A347" s="245">
        <f t="shared" si="134"/>
        <v>27</v>
      </c>
      <c r="B347" s="279" t="s">
        <v>403</v>
      </c>
      <c r="C347" s="291">
        <f t="shared" si="125"/>
        <v>2</v>
      </c>
      <c r="D347" s="292"/>
      <c r="E347" s="293"/>
      <c r="F347" s="293">
        <v>0.3</v>
      </c>
      <c r="G347" s="299">
        <v>1.7</v>
      </c>
      <c r="H347" s="292"/>
      <c r="I347" s="249">
        <f t="shared" si="126"/>
        <v>0</v>
      </c>
      <c r="J347" s="240">
        <f t="shared" si="127"/>
        <v>0</v>
      </c>
      <c r="K347" s="196"/>
      <c r="L347" s="196"/>
      <c r="M347" s="196"/>
      <c r="N347" s="196"/>
      <c r="O347" s="196"/>
      <c r="P347" s="240">
        <f t="shared" si="128"/>
        <v>0</v>
      </c>
      <c r="Q347" s="196"/>
      <c r="R347" s="196"/>
      <c r="S347" s="196"/>
      <c r="T347" s="196"/>
      <c r="U347" s="196"/>
      <c r="V347" s="238">
        <f t="shared" si="129"/>
        <v>223.44</v>
      </c>
      <c r="W347" s="227">
        <f t="shared" si="130"/>
        <v>3</v>
      </c>
      <c r="X347" s="237"/>
      <c r="Y347" s="237"/>
      <c r="Z347" s="237">
        <v>1</v>
      </c>
      <c r="AA347" s="237">
        <v>2</v>
      </c>
      <c r="AB347" s="237"/>
      <c r="AC347" s="227"/>
      <c r="AD347" s="239">
        <f t="shared" si="131"/>
        <v>0</v>
      </c>
      <c r="AE347" s="237"/>
      <c r="AF347" s="237"/>
      <c r="AG347" s="237"/>
      <c r="AH347" s="237"/>
      <c r="AI347" s="237"/>
      <c r="AJ347" s="239">
        <f t="shared" si="132"/>
        <v>0</v>
      </c>
      <c r="AK347" s="237"/>
      <c r="AL347" s="237"/>
      <c r="AM347" s="237"/>
      <c r="AN347" s="237"/>
      <c r="AO347" s="237"/>
      <c r="AP347" s="196">
        <v>347</v>
      </c>
      <c r="AQ347" s="334">
        <f t="shared" si="133"/>
        <v>1.5</v>
      </c>
      <c r="AR347" s="207"/>
      <c r="AS347" s="196"/>
      <c r="AT347" s="196"/>
    </row>
    <row r="348" spans="1:46" hidden="1">
      <c r="A348" s="245">
        <f t="shared" si="134"/>
        <v>28</v>
      </c>
      <c r="B348" s="279" t="s">
        <v>404</v>
      </c>
      <c r="C348" s="291">
        <f t="shared" si="125"/>
        <v>3.0060000000000002</v>
      </c>
      <c r="D348" s="292"/>
      <c r="E348" s="293">
        <v>7.4999999999999997E-2</v>
      </c>
      <c r="F348" s="293">
        <v>0.71399999999999997</v>
      </c>
      <c r="G348" s="299">
        <v>2.2170000000000001</v>
      </c>
      <c r="H348" s="292"/>
      <c r="I348" s="249">
        <f t="shared" si="126"/>
        <v>0</v>
      </c>
      <c r="J348" s="240">
        <f t="shared" si="127"/>
        <v>0</v>
      </c>
      <c r="K348" s="196"/>
      <c r="L348" s="196"/>
      <c r="M348" s="196"/>
      <c r="N348" s="196"/>
      <c r="O348" s="196"/>
      <c r="P348" s="240">
        <f t="shared" si="128"/>
        <v>0</v>
      </c>
      <c r="Q348" s="196"/>
      <c r="R348" s="196"/>
      <c r="S348" s="196"/>
      <c r="T348" s="196"/>
      <c r="U348" s="196"/>
      <c r="V348" s="238">
        <f t="shared" si="129"/>
        <v>340.42932000000002</v>
      </c>
      <c r="W348" s="227">
        <f t="shared" si="130"/>
        <v>2.75</v>
      </c>
      <c r="X348" s="237"/>
      <c r="Y348" s="237"/>
      <c r="Z348" s="237">
        <v>0.25</v>
      </c>
      <c r="AA348" s="237">
        <v>2.5</v>
      </c>
      <c r="AB348" s="237"/>
      <c r="AC348" s="227"/>
      <c r="AD348" s="239">
        <f t="shared" si="131"/>
        <v>0</v>
      </c>
      <c r="AE348" s="237"/>
      <c r="AF348" s="237"/>
      <c r="AG348" s="237"/>
      <c r="AH348" s="237"/>
      <c r="AI348" s="237"/>
      <c r="AJ348" s="239">
        <f t="shared" si="132"/>
        <v>0</v>
      </c>
      <c r="AK348" s="237"/>
      <c r="AL348" s="237"/>
      <c r="AM348" s="237"/>
      <c r="AN348" s="237"/>
      <c r="AO348" s="237"/>
      <c r="AP348" s="196">
        <v>321</v>
      </c>
      <c r="AQ348" s="334">
        <f t="shared" si="133"/>
        <v>0.91483699268130403</v>
      </c>
      <c r="AR348" s="207"/>
      <c r="AS348" s="196"/>
      <c r="AT348" s="196"/>
    </row>
    <row r="349" spans="1:46" ht="15.5" hidden="1">
      <c r="A349" s="245">
        <f t="shared" si="134"/>
        <v>29</v>
      </c>
      <c r="B349" s="279" t="s">
        <v>405</v>
      </c>
      <c r="C349" s="291">
        <f t="shared" si="125"/>
        <v>3.0940000000000003</v>
      </c>
      <c r="D349" s="292"/>
      <c r="E349" s="293">
        <v>0.29399999999999998</v>
      </c>
      <c r="F349" s="293">
        <v>2.6</v>
      </c>
      <c r="G349" s="299"/>
      <c r="H349" s="292">
        <v>0.2</v>
      </c>
      <c r="I349" s="249">
        <f t="shared" si="126"/>
        <v>3.8146999999999998</v>
      </c>
      <c r="J349" s="240">
        <f t="shared" si="127"/>
        <v>0</v>
      </c>
      <c r="K349" s="196"/>
      <c r="L349" s="196"/>
      <c r="M349" s="196"/>
      <c r="N349" s="196"/>
      <c r="O349" s="196"/>
      <c r="P349" s="240">
        <f t="shared" si="128"/>
        <v>3.8146999999999998</v>
      </c>
      <c r="Q349" s="301">
        <f>0.5+0.161</f>
        <v>0.66100000000000003</v>
      </c>
      <c r="R349" s="302">
        <f>0.6672+2.4865</f>
        <v>3.1536999999999997</v>
      </c>
      <c r="S349" s="196"/>
      <c r="T349" s="196"/>
      <c r="U349" s="196"/>
      <c r="V349" s="238">
        <f t="shared" si="129"/>
        <v>606.96902799999998</v>
      </c>
      <c r="W349" s="227">
        <f t="shared" si="130"/>
        <v>2.2000000000000002</v>
      </c>
      <c r="X349" s="237"/>
      <c r="Y349" s="237"/>
      <c r="Z349" s="237">
        <v>2.2000000000000002</v>
      </c>
      <c r="AA349" s="237"/>
      <c r="AB349" s="237"/>
      <c r="AC349" s="227">
        <v>2.2000000000000002</v>
      </c>
      <c r="AD349" s="239">
        <f t="shared" si="131"/>
        <v>0</v>
      </c>
      <c r="AE349" s="237"/>
      <c r="AF349" s="237"/>
      <c r="AG349" s="237"/>
      <c r="AH349" s="237"/>
      <c r="AI349" s="237"/>
      <c r="AJ349" s="239">
        <f t="shared" si="132"/>
        <v>0.74</v>
      </c>
      <c r="AK349" s="237"/>
      <c r="AL349" s="237">
        <v>0.74</v>
      </c>
      <c r="AM349" s="237"/>
      <c r="AN349" s="237"/>
      <c r="AO349" s="237"/>
      <c r="AP349" s="196">
        <v>576</v>
      </c>
      <c r="AQ349" s="334">
        <f t="shared" si="133"/>
        <v>0.71105365223012285</v>
      </c>
      <c r="AR349" s="207"/>
      <c r="AS349" s="196"/>
      <c r="AT349" s="196"/>
    </row>
    <row r="350" spans="1:46" ht="15.5" hidden="1">
      <c r="A350" s="245">
        <f t="shared" si="134"/>
        <v>30</v>
      </c>
      <c r="B350" s="279" t="s">
        <v>406</v>
      </c>
      <c r="C350" s="291">
        <f t="shared" si="125"/>
        <v>9.3999999999999986</v>
      </c>
      <c r="D350" s="292">
        <v>5.5</v>
      </c>
      <c r="E350" s="293">
        <v>0.13</v>
      </c>
      <c r="F350" s="293">
        <v>1.98</v>
      </c>
      <c r="G350" s="299">
        <v>1.79</v>
      </c>
      <c r="H350" s="292"/>
      <c r="I350" s="249">
        <f t="shared" si="126"/>
        <v>6.7359999999999998</v>
      </c>
      <c r="J350" s="240">
        <f t="shared" si="127"/>
        <v>6.5729999999999995</v>
      </c>
      <c r="K350" s="301">
        <v>1.893</v>
      </c>
      <c r="L350" s="302">
        <v>4.68</v>
      </c>
      <c r="M350" s="196"/>
      <c r="N350" s="196"/>
      <c r="O350" s="196"/>
      <c r="P350" s="240">
        <f t="shared" si="128"/>
        <v>0.16300000000000001</v>
      </c>
      <c r="Q350" s="301">
        <v>0.16300000000000001</v>
      </c>
      <c r="R350" s="196"/>
      <c r="S350" s="196"/>
      <c r="T350" s="196"/>
      <c r="U350" s="196"/>
      <c r="V350" s="238">
        <f t="shared" si="129"/>
        <v>2024.8012090000002</v>
      </c>
      <c r="W350" s="227">
        <f t="shared" si="130"/>
        <v>7.5390000000000006</v>
      </c>
      <c r="X350" s="237">
        <v>5.5</v>
      </c>
      <c r="Y350" s="237">
        <v>0.13</v>
      </c>
      <c r="Z350" s="237">
        <v>1.2090000000000001</v>
      </c>
      <c r="AA350" s="237">
        <v>0.7</v>
      </c>
      <c r="AB350" s="237"/>
      <c r="AC350" s="227">
        <v>7.5</v>
      </c>
      <c r="AD350" s="239">
        <f t="shared" si="131"/>
        <v>1.32</v>
      </c>
      <c r="AE350" s="237">
        <v>1.32</v>
      </c>
      <c r="AF350" s="237"/>
      <c r="AG350" s="237"/>
      <c r="AH350" s="237"/>
      <c r="AI350" s="237"/>
      <c r="AJ350" s="239">
        <f t="shared" si="132"/>
        <v>0</v>
      </c>
      <c r="AK350" s="237"/>
      <c r="AL350" s="237"/>
      <c r="AM350" s="237"/>
      <c r="AN350" s="237"/>
      <c r="AO350" s="237"/>
      <c r="AP350" s="196">
        <v>2523</v>
      </c>
      <c r="AQ350" s="334">
        <f t="shared" si="133"/>
        <v>0.80202127659574485</v>
      </c>
      <c r="AR350" s="207"/>
      <c r="AS350" s="196"/>
      <c r="AT350" s="196"/>
    </row>
    <row r="351" spans="1:46" ht="15.5" hidden="1">
      <c r="A351" s="303">
        <v>1</v>
      </c>
      <c r="B351" s="304" t="s">
        <v>407</v>
      </c>
      <c r="C351" s="305">
        <f>D351+E351+F351+G351</f>
        <v>3.4880000000000004</v>
      </c>
      <c r="D351" s="306"/>
      <c r="E351" s="303">
        <v>0.66400000000000003</v>
      </c>
      <c r="F351" s="303">
        <v>2.8240000000000003</v>
      </c>
      <c r="G351" s="306"/>
      <c r="H351" s="196"/>
      <c r="I351" s="249">
        <f t="shared" si="126"/>
        <v>0.5</v>
      </c>
      <c r="J351" s="240">
        <f t="shared" si="127"/>
        <v>0</v>
      </c>
      <c r="K351" s="196"/>
      <c r="L351" s="196"/>
      <c r="M351" s="196"/>
      <c r="N351" s="196"/>
      <c r="O351" s="196"/>
      <c r="P351" s="240">
        <f t="shared" si="128"/>
        <v>0.5</v>
      </c>
      <c r="Q351" s="196">
        <v>0.5</v>
      </c>
      <c r="R351" s="196"/>
      <c r="S351" s="196"/>
      <c r="T351" s="196"/>
      <c r="U351" s="196"/>
      <c r="V351" s="238">
        <f t="shared" si="129"/>
        <v>466.72484000000003</v>
      </c>
      <c r="W351" s="227">
        <f t="shared" si="130"/>
        <v>3.4</v>
      </c>
      <c r="X351" s="237"/>
      <c r="Y351" s="237"/>
      <c r="Z351" s="237">
        <v>3.4</v>
      </c>
      <c r="AA351" s="237"/>
      <c r="AB351" s="237"/>
      <c r="AC351" s="227">
        <v>0.8</v>
      </c>
      <c r="AD351" s="239">
        <f t="shared" si="131"/>
        <v>0</v>
      </c>
      <c r="AE351" s="237"/>
      <c r="AF351" s="237"/>
      <c r="AG351" s="237"/>
      <c r="AH351" s="237"/>
      <c r="AI351" s="237"/>
      <c r="AJ351" s="239">
        <f t="shared" si="132"/>
        <v>0.9</v>
      </c>
      <c r="AK351" s="237">
        <v>0.5</v>
      </c>
      <c r="AL351" s="237">
        <v>0.4</v>
      </c>
      <c r="AM351" s="237"/>
      <c r="AN351" s="237"/>
      <c r="AO351" s="237"/>
      <c r="AP351" s="196">
        <v>496.9</v>
      </c>
      <c r="AQ351" s="334">
        <f t="shared" si="133"/>
        <v>0.97477064220183474</v>
      </c>
      <c r="AR351" s="207">
        <f>AC351/I351</f>
        <v>1.6</v>
      </c>
      <c r="AS351" s="196"/>
      <c r="AT351" s="196"/>
    </row>
    <row r="352" spans="1:46" ht="15.5" hidden="1">
      <c r="A352" s="303">
        <v>2</v>
      </c>
      <c r="B352" s="304" t="s">
        <v>408</v>
      </c>
      <c r="C352" s="305">
        <f>D352+E352+F352+G352</f>
        <v>1.1000000000000001</v>
      </c>
      <c r="D352" s="306"/>
      <c r="E352" s="303">
        <v>1.1000000000000001</v>
      </c>
      <c r="F352" s="303"/>
      <c r="G352" s="306"/>
      <c r="H352" s="196"/>
      <c r="I352" s="249">
        <f t="shared" si="126"/>
        <v>0.5</v>
      </c>
      <c r="J352" s="240">
        <f t="shared" si="127"/>
        <v>0.5</v>
      </c>
      <c r="K352" s="196">
        <v>0.5</v>
      </c>
      <c r="L352" s="196"/>
      <c r="M352" s="196"/>
      <c r="N352" s="196"/>
      <c r="O352" s="196"/>
      <c r="P352" s="240">
        <f t="shared" si="128"/>
        <v>0</v>
      </c>
      <c r="Q352" s="196"/>
      <c r="R352" s="196"/>
      <c r="S352" s="196"/>
      <c r="T352" s="196"/>
      <c r="U352" s="196"/>
      <c r="V352" s="238">
        <f t="shared" si="129"/>
        <v>233.47149999999999</v>
      </c>
      <c r="W352" s="227">
        <f t="shared" si="130"/>
        <v>1.444</v>
      </c>
      <c r="X352" s="237"/>
      <c r="Y352" s="237">
        <v>4.3999999999999997E-2</v>
      </c>
      <c r="Z352" s="237">
        <v>1.4</v>
      </c>
      <c r="AA352" s="237"/>
      <c r="AB352" s="237"/>
      <c r="AC352" s="227"/>
      <c r="AD352" s="239">
        <f t="shared" si="131"/>
        <v>0</v>
      </c>
      <c r="AE352" s="237"/>
      <c r="AF352" s="237"/>
      <c r="AG352" s="237"/>
      <c r="AH352" s="237"/>
      <c r="AI352" s="237"/>
      <c r="AJ352" s="239">
        <f t="shared" si="132"/>
        <v>0</v>
      </c>
      <c r="AK352" s="237"/>
      <c r="AL352" s="237"/>
      <c r="AM352" s="237"/>
      <c r="AN352" s="237"/>
      <c r="AO352" s="237"/>
      <c r="AP352" s="196">
        <v>164</v>
      </c>
      <c r="AQ352" s="334">
        <f t="shared" si="133"/>
        <v>1.3127272727272725</v>
      </c>
      <c r="AR352" s="207">
        <f>AC352/I352</f>
        <v>0</v>
      </c>
      <c r="AS352" s="196"/>
      <c r="AT352" s="196"/>
    </row>
    <row r="353" spans="1:46" hidden="1">
      <c r="A353" s="196"/>
      <c r="B353" s="241" t="s">
        <v>1</v>
      </c>
      <c r="C353" s="227">
        <f t="shared" ref="C353:AP353" si="135">SUM(C321:C352)</f>
        <v>105.75599999999997</v>
      </c>
      <c r="D353" s="227">
        <f t="shared" si="135"/>
        <v>5.8529999999999998</v>
      </c>
      <c r="E353" s="227">
        <f t="shared" si="135"/>
        <v>23.164999999999999</v>
      </c>
      <c r="F353" s="227">
        <f t="shared" si="135"/>
        <v>65.420999999999992</v>
      </c>
      <c r="G353" s="227">
        <f t="shared" si="135"/>
        <v>10.617000000000001</v>
      </c>
      <c r="H353" s="227">
        <f t="shared" si="135"/>
        <v>0.7</v>
      </c>
      <c r="I353" s="227">
        <f t="shared" si="135"/>
        <v>17.756699999999999</v>
      </c>
      <c r="J353" s="227">
        <f t="shared" si="135"/>
        <v>9.3289999999999988</v>
      </c>
      <c r="K353" s="227">
        <f t="shared" si="135"/>
        <v>3.5430000000000001</v>
      </c>
      <c r="L353" s="227">
        <f t="shared" si="135"/>
        <v>4.68</v>
      </c>
      <c r="M353" s="227">
        <f t="shared" si="135"/>
        <v>0</v>
      </c>
      <c r="N353" s="227">
        <f t="shared" si="135"/>
        <v>0</v>
      </c>
      <c r="O353" s="227">
        <f t="shared" si="135"/>
        <v>1.1059999999999999</v>
      </c>
      <c r="P353" s="227">
        <f t="shared" si="135"/>
        <v>8.4276999999999997</v>
      </c>
      <c r="Q353" s="227">
        <f t="shared" si="135"/>
        <v>1.3240000000000001</v>
      </c>
      <c r="R353" s="227">
        <f t="shared" si="135"/>
        <v>6.0537000000000001</v>
      </c>
      <c r="S353" s="227">
        <f t="shared" si="135"/>
        <v>0.1</v>
      </c>
      <c r="T353" s="227">
        <f t="shared" si="135"/>
        <v>0.95000000000000007</v>
      </c>
      <c r="U353" s="227">
        <f t="shared" si="135"/>
        <v>0</v>
      </c>
      <c r="V353" s="242">
        <f t="shared" si="135"/>
        <v>14952.210686999997</v>
      </c>
      <c r="W353" s="227">
        <f t="shared" si="135"/>
        <v>108.28400000000001</v>
      </c>
      <c r="X353" s="227">
        <f t="shared" si="135"/>
        <v>6.15</v>
      </c>
      <c r="Y353" s="227">
        <f t="shared" si="135"/>
        <v>15.920000000000002</v>
      </c>
      <c r="Z353" s="227">
        <f t="shared" si="135"/>
        <v>76.319000000000003</v>
      </c>
      <c r="AA353" s="227">
        <f t="shared" si="135"/>
        <v>9.2449999999999992</v>
      </c>
      <c r="AB353" s="227">
        <f t="shared" si="135"/>
        <v>0.65</v>
      </c>
      <c r="AC353" s="227">
        <f t="shared" si="135"/>
        <v>11.656000000000001</v>
      </c>
      <c r="AD353" s="227">
        <f t="shared" si="135"/>
        <v>1.7200000000000002</v>
      </c>
      <c r="AE353" s="227">
        <f t="shared" si="135"/>
        <v>1.32</v>
      </c>
      <c r="AF353" s="227">
        <f t="shared" si="135"/>
        <v>0.4</v>
      </c>
      <c r="AG353" s="227">
        <f t="shared" si="135"/>
        <v>0</v>
      </c>
      <c r="AH353" s="227">
        <f t="shared" si="135"/>
        <v>0</v>
      </c>
      <c r="AI353" s="227">
        <f t="shared" si="135"/>
        <v>0</v>
      </c>
      <c r="AJ353" s="227">
        <f t="shared" si="135"/>
        <v>1.6400000000000001</v>
      </c>
      <c r="AK353" s="227">
        <f t="shared" si="135"/>
        <v>0.5</v>
      </c>
      <c r="AL353" s="227">
        <f t="shared" si="135"/>
        <v>1.1400000000000001</v>
      </c>
      <c r="AM353" s="227">
        <f t="shared" si="135"/>
        <v>0</v>
      </c>
      <c r="AN353" s="227">
        <f t="shared" si="135"/>
        <v>0</v>
      </c>
      <c r="AO353" s="227">
        <f t="shared" si="135"/>
        <v>0</v>
      </c>
      <c r="AP353" s="242">
        <f t="shared" si="135"/>
        <v>15722.9</v>
      </c>
      <c r="AQ353" s="332">
        <f t="shared" si="133"/>
        <v>1.0239040810923261</v>
      </c>
      <c r="AR353" s="226">
        <f>AC353/I353</f>
        <v>0.65642827777683921</v>
      </c>
      <c r="AS353" s="227">
        <f>SUM(AS321:AS352)</f>
        <v>0</v>
      </c>
      <c r="AT353" s="227">
        <f>SUM(AT321:AT352)</f>
        <v>0</v>
      </c>
    </row>
    <row r="354" spans="1:46" hidden="1"/>
    <row r="355" spans="1:46" hidden="1"/>
    <row r="356" spans="1:46" hidden="1">
      <c r="B356" s="538" t="s">
        <v>190</v>
      </c>
      <c r="C356" s="539"/>
      <c r="D356" s="539"/>
      <c r="E356" s="539"/>
      <c r="F356" s="539"/>
      <c r="V356" s="173" t="s">
        <v>191</v>
      </c>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331"/>
    </row>
    <row r="357" spans="1:46" hidden="1">
      <c r="B357" s="538" t="s">
        <v>409</v>
      </c>
      <c r="C357" s="539"/>
      <c r="D357" s="539"/>
      <c r="E357" s="539"/>
      <c r="F357" s="539"/>
      <c r="V357" s="173" t="s">
        <v>193</v>
      </c>
      <c r="W357" s="174"/>
      <c r="X357" s="174"/>
      <c r="Y357" s="174"/>
      <c r="Z357" s="174"/>
      <c r="AA357" s="174"/>
      <c r="AB357" s="174"/>
      <c r="AC357" s="174"/>
      <c r="AD357" s="174"/>
      <c r="AE357" s="174"/>
      <c r="AF357" s="174"/>
      <c r="AG357" s="174"/>
      <c r="AH357" s="174"/>
      <c r="AI357" s="174"/>
      <c r="AJ357" s="174"/>
      <c r="AK357" s="174"/>
      <c r="AL357" s="174"/>
      <c r="AM357" s="174"/>
      <c r="AN357" s="174"/>
      <c r="AO357" s="174"/>
      <c r="AP357" s="174"/>
      <c r="AQ357" s="331"/>
    </row>
    <row r="358" spans="1:46" hidden="1">
      <c r="B358" s="172"/>
      <c r="C358" s="172"/>
      <c r="D358" s="172"/>
      <c r="E358" s="172"/>
      <c r="F358" s="172"/>
      <c r="V358" s="173"/>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331"/>
    </row>
    <row r="359" spans="1:46" hidden="1">
      <c r="A359" s="542" t="s">
        <v>410</v>
      </c>
      <c r="B359" s="542"/>
      <c r="C359" s="542"/>
      <c r="D359" s="542"/>
      <c r="E359" s="542"/>
      <c r="F359" s="542"/>
      <c r="G359" s="542"/>
      <c r="H359" s="542"/>
      <c r="I359" s="542"/>
      <c r="J359" s="542"/>
      <c r="K359" s="542"/>
      <c r="L359" s="542"/>
      <c r="M359" s="542"/>
      <c r="N359" s="542"/>
      <c r="O359" s="542"/>
      <c r="P359" s="542"/>
      <c r="Q359" s="542"/>
      <c r="R359" s="542"/>
      <c r="S359" s="542"/>
      <c r="T359" s="542"/>
      <c r="U359" s="542"/>
      <c r="V359" s="542"/>
      <c r="W359" s="542"/>
      <c r="X359" s="542"/>
      <c r="Y359" s="542"/>
      <c r="Z359" s="542"/>
      <c r="AA359" s="542"/>
      <c r="AB359" s="542"/>
      <c r="AC359" s="542"/>
      <c r="AD359" s="542"/>
      <c r="AE359" s="542"/>
      <c r="AF359" s="542"/>
      <c r="AG359" s="542"/>
      <c r="AH359" s="542"/>
      <c r="AI359" s="542"/>
      <c r="AJ359" s="542"/>
      <c r="AK359" s="542"/>
      <c r="AL359" s="542"/>
      <c r="AM359" s="542"/>
      <c r="AN359" s="542"/>
      <c r="AO359" s="542"/>
      <c r="AP359" s="542"/>
      <c r="AQ359" s="542"/>
      <c r="AR359" s="542"/>
      <c r="AS359" s="542"/>
      <c r="AT359" s="542"/>
    </row>
    <row r="360" spans="1:46" hidden="1">
      <c r="A360" s="543"/>
      <c r="B360" s="543"/>
      <c r="C360" s="543"/>
      <c r="D360" s="543"/>
      <c r="E360" s="543"/>
      <c r="F360" s="543"/>
      <c r="G360" s="543"/>
      <c r="H360" s="543"/>
      <c r="I360" s="543"/>
      <c r="J360" s="543"/>
      <c r="K360" s="543"/>
      <c r="L360" s="543"/>
      <c r="M360" s="543"/>
      <c r="N360" s="543"/>
      <c r="O360" s="543"/>
      <c r="P360" s="543"/>
      <c r="Q360" s="543"/>
      <c r="R360" s="543"/>
      <c r="S360" s="543"/>
      <c r="T360" s="543"/>
      <c r="U360" s="543"/>
      <c r="V360" s="543"/>
      <c r="W360" s="543"/>
      <c r="X360" s="543"/>
      <c r="Y360" s="543"/>
      <c r="Z360" s="543"/>
      <c r="AA360" s="543"/>
      <c r="AB360" s="543"/>
      <c r="AC360" s="543"/>
      <c r="AD360" s="543"/>
      <c r="AE360" s="543"/>
      <c r="AF360" s="543"/>
      <c r="AG360" s="543"/>
      <c r="AH360" s="543"/>
      <c r="AI360" s="543"/>
      <c r="AJ360" s="543"/>
      <c r="AK360" s="543"/>
      <c r="AL360" s="543"/>
      <c r="AM360" s="543"/>
      <c r="AN360" s="543"/>
      <c r="AO360" s="543"/>
      <c r="AP360" s="543"/>
      <c r="AQ360" s="543"/>
      <c r="AR360" s="543"/>
      <c r="AS360" s="543"/>
      <c r="AT360" s="543"/>
    </row>
    <row r="361" spans="1:46" hidden="1">
      <c r="A361" s="544" t="s">
        <v>0</v>
      </c>
      <c r="B361" s="533" t="s">
        <v>161</v>
      </c>
      <c r="C361" s="546" t="s">
        <v>162</v>
      </c>
      <c r="D361" s="546"/>
      <c r="E361" s="546"/>
      <c r="F361" s="546"/>
      <c r="G361" s="546"/>
      <c r="H361" s="546"/>
      <c r="I361" s="546"/>
      <c r="J361" s="546"/>
      <c r="K361" s="546"/>
      <c r="L361" s="546"/>
      <c r="M361" s="546"/>
      <c r="N361" s="546"/>
      <c r="O361" s="546"/>
      <c r="P361" s="546"/>
      <c r="Q361" s="546"/>
      <c r="R361" s="546"/>
      <c r="S361" s="546"/>
      <c r="T361" s="546"/>
      <c r="U361" s="546"/>
      <c r="V361" s="546"/>
      <c r="W361" s="547" t="s">
        <v>163</v>
      </c>
      <c r="X361" s="547"/>
      <c r="Y361" s="547"/>
      <c r="Z361" s="547"/>
      <c r="AA361" s="547"/>
      <c r="AB361" s="547"/>
      <c r="AC361" s="547"/>
      <c r="AD361" s="547"/>
      <c r="AE361" s="547"/>
      <c r="AF361" s="547"/>
      <c r="AG361" s="547"/>
      <c r="AH361" s="547"/>
      <c r="AI361" s="547"/>
      <c r="AJ361" s="547"/>
      <c r="AK361" s="547"/>
      <c r="AL361" s="547"/>
      <c r="AM361" s="547"/>
      <c r="AN361" s="547"/>
      <c r="AO361" s="547"/>
      <c r="AP361" s="547"/>
      <c r="AQ361" s="547" t="s">
        <v>164</v>
      </c>
      <c r="AR361" s="547"/>
      <c r="AS361" s="547" t="s">
        <v>165</v>
      </c>
      <c r="AT361" s="547"/>
    </row>
    <row r="362" spans="1:46" hidden="1">
      <c r="A362" s="545"/>
      <c r="B362" s="534"/>
      <c r="C362" s="533" t="s">
        <v>166</v>
      </c>
      <c r="D362" s="536" t="s">
        <v>167</v>
      </c>
      <c r="E362" s="536"/>
      <c r="F362" s="536"/>
      <c r="G362" s="536"/>
      <c r="H362" s="536"/>
      <c r="I362" s="533" t="s">
        <v>168</v>
      </c>
      <c r="J362" s="537" t="s">
        <v>167</v>
      </c>
      <c r="K362" s="537"/>
      <c r="L362" s="537"/>
      <c r="M362" s="537"/>
      <c r="N362" s="537"/>
      <c r="O362" s="537"/>
      <c r="P362" s="537"/>
      <c r="Q362" s="537"/>
      <c r="R362" s="537"/>
      <c r="S362" s="537"/>
      <c r="T362" s="537"/>
      <c r="U362" s="537"/>
      <c r="V362" s="552" t="s">
        <v>169</v>
      </c>
      <c r="W362" s="533" t="s">
        <v>170</v>
      </c>
      <c r="X362" s="555" t="s">
        <v>167</v>
      </c>
      <c r="Y362" s="555"/>
      <c r="Z362" s="555"/>
      <c r="AA362" s="555"/>
      <c r="AB362" s="555"/>
      <c r="AC362" s="533" t="s">
        <v>168</v>
      </c>
      <c r="AD362" s="537" t="s">
        <v>167</v>
      </c>
      <c r="AE362" s="537"/>
      <c r="AF362" s="537"/>
      <c r="AG362" s="537"/>
      <c r="AH362" s="537"/>
      <c r="AI362" s="537"/>
      <c r="AJ362" s="537"/>
      <c r="AK362" s="537"/>
      <c r="AL362" s="537"/>
      <c r="AM362" s="537"/>
      <c r="AN362" s="537"/>
      <c r="AO362" s="537"/>
      <c r="AP362" s="552" t="s">
        <v>171</v>
      </c>
      <c r="AQ362" s="548" t="s">
        <v>172</v>
      </c>
      <c r="AR362" s="548" t="s">
        <v>173</v>
      </c>
      <c r="AS362" s="548" t="s">
        <v>170</v>
      </c>
      <c r="AT362" s="548" t="s">
        <v>168</v>
      </c>
    </row>
    <row r="363" spans="1:46" hidden="1">
      <c r="A363" s="545"/>
      <c r="B363" s="534"/>
      <c r="C363" s="534"/>
      <c r="D363" s="552" t="s">
        <v>174</v>
      </c>
      <c r="E363" s="552" t="s">
        <v>175</v>
      </c>
      <c r="F363" s="552" t="s">
        <v>176</v>
      </c>
      <c r="G363" s="552" t="s">
        <v>177</v>
      </c>
      <c r="H363" s="552" t="s">
        <v>178</v>
      </c>
      <c r="I363" s="534"/>
      <c r="J363" s="537" t="s">
        <v>179</v>
      </c>
      <c r="K363" s="537"/>
      <c r="L363" s="537"/>
      <c r="M363" s="537"/>
      <c r="N363" s="537"/>
      <c r="O363" s="537"/>
      <c r="P363" s="537" t="s">
        <v>180</v>
      </c>
      <c r="Q363" s="537"/>
      <c r="R363" s="537"/>
      <c r="S363" s="537"/>
      <c r="T363" s="537"/>
      <c r="U363" s="537"/>
      <c r="V363" s="553"/>
      <c r="W363" s="534"/>
      <c r="X363" s="552" t="s">
        <v>174</v>
      </c>
      <c r="Y363" s="552" t="s">
        <v>175</v>
      </c>
      <c r="Z363" s="552" t="s">
        <v>176</v>
      </c>
      <c r="AA363" s="552" t="s">
        <v>177</v>
      </c>
      <c r="AB363" s="552" t="s">
        <v>178</v>
      </c>
      <c r="AC363" s="534"/>
      <c r="AD363" s="537" t="s">
        <v>179</v>
      </c>
      <c r="AE363" s="537"/>
      <c r="AF363" s="537"/>
      <c r="AG363" s="537"/>
      <c r="AH363" s="537"/>
      <c r="AI363" s="537"/>
      <c r="AJ363" s="537" t="s">
        <v>180</v>
      </c>
      <c r="AK363" s="537"/>
      <c r="AL363" s="537"/>
      <c r="AM363" s="537"/>
      <c r="AN363" s="537"/>
      <c r="AO363" s="537"/>
      <c r="AP363" s="553"/>
      <c r="AQ363" s="549"/>
      <c r="AR363" s="549"/>
      <c r="AS363" s="549"/>
      <c r="AT363" s="549"/>
    </row>
    <row r="364" spans="1:46" ht="15.5" hidden="1">
      <c r="A364" s="179"/>
      <c r="B364" s="534"/>
      <c r="C364" s="534"/>
      <c r="D364" s="553"/>
      <c r="E364" s="553"/>
      <c r="F364" s="553"/>
      <c r="G364" s="553"/>
      <c r="H364" s="553"/>
      <c r="I364" s="534"/>
      <c r="J364" s="556" t="s">
        <v>1</v>
      </c>
      <c r="K364" s="551" t="s">
        <v>181</v>
      </c>
      <c r="L364" s="551"/>
      <c r="M364" s="551" t="s">
        <v>182</v>
      </c>
      <c r="N364" s="551"/>
      <c r="O364" s="551" t="s">
        <v>183</v>
      </c>
      <c r="P364" s="556" t="s">
        <v>1</v>
      </c>
      <c r="Q364" s="551" t="s">
        <v>181</v>
      </c>
      <c r="R364" s="551"/>
      <c r="S364" s="551" t="s">
        <v>182</v>
      </c>
      <c r="T364" s="551"/>
      <c r="U364" s="551" t="s">
        <v>183</v>
      </c>
      <c r="V364" s="553"/>
      <c r="W364" s="534"/>
      <c r="X364" s="553"/>
      <c r="Y364" s="553"/>
      <c r="Z364" s="553"/>
      <c r="AA364" s="553"/>
      <c r="AB364" s="553"/>
      <c r="AC364" s="534"/>
      <c r="AD364" s="556" t="s">
        <v>1</v>
      </c>
      <c r="AE364" s="551" t="s">
        <v>181</v>
      </c>
      <c r="AF364" s="551"/>
      <c r="AG364" s="551" t="s">
        <v>182</v>
      </c>
      <c r="AH364" s="551"/>
      <c r="AI364" s="551" t="s">
        <v>183</v>
      </c>
      <c r="AJ364" s="556" t="s">
        <v>1</v>
      </c>
      <c r="AK364" s="551" t="s">
        <v>181</v>
      </c>
      <c r="AL364" s="551"/>
      <c r="AM364" s="551" t="s">
        <v>182</v>
      </c>
      <c r="AN364" s="551"/>
      <c r="AO364" s="551" t="s">
        <v>183</v>
      </c>
      <c r="AP364" s="553"/>
      <c r="AQ364" s="549"/>
      <c r="AR364" s="549"/>
      <c r="AS364" s="549"/>
      <c r="AT364" s="549"/>
    </row>
    <row r="365" spans="1:46" ht="83.25" hidden="1" customHeight="1">
      <c r="A365" s="179"/>
      <c r="B365" s="535"/>
      <c r="C365" s="535"/>
      <c r="D365" s="554"/>
      <c r="E365" s="554"/>
      <c r="F365" s="554"/>
      <c r="G365" s="554"/>
      <c r="H365" s="554"/>
      <c r="I365" s="535"/>
      <c r="J365" s="557"/>
      <c r="K365" s="186" t="s">
        <v>184</v>
      </c>
      <c r="L365" s="186" t="s">
        <v>185</v>
      </c>
      <c r="M365" s="186" t="s">
        <v>184</v>
      </c>
      <c r="N365" s="186" t="s">
        <v>185</v>
      </c>
      <c r="O365" s="551"/>
      <c r="P365" s="557"/>
      <c r="Q365" s="186" t="s">
        <v>184</v>
      </c>
      <c r="R365" s="186" t="s">
        <v>185</v>
      </c>
      <c r="S365" s="186" t="s">
        <v>184</v>
      </c>
      <c r="T365" s="186" t="s">
        <v>185</v>
      </c>
      <c r="U365" s="551"/>
      <c r="V365" s="554"/>
      <c r="W365" s="535"/>
      <c r="X365" s="554"/>
      <c r="Y365" s="554"/>
      <c r="Z365" s="554"/>
      <c r="AA365" s="554"/>
      <c r="AB365" s="554"/>
      <c r="AC365" s="535"/>
      <c r="AD365" s="557"/>
      <c r="AE365" s="186" t="s">
        <v>184</v>
      </c>
      <c r="AF365" s="186" t="s">
        <v>185</v>
      </c>
      <c r="AG365" s="186" t="s">
        <v>184</v>
      </c>
      <c r="AH365" s="186" t="s">
        <v>185</v>
      </c>
      <c r="AI365" s="551"/>
      <c r="AJ365" s="557"/>
      <c r="AK365" s="186" t="s">
        <v>184</v>
      </c>
      <c r="AL365" s="186" t="s">
        <v>185</v>
      </c>
      <c r="AM365" s="186" t="s">
        <v>184</v>
      </c>
      <c r="AN365" s="186" t="s">
        <v>185</v>
      </c>
      <c r="AO365" s="551"/>
      <c r="AP365" s="554"/>
      <c r="AQ365" s="550"/>
      <c r="AR365" s="550"/>
      <c r="AS365" s="550"/>
      <c r="AT365" s="550"/>
    </row>
    <row r="366" spans="1:46" hidden="1">
      <c r="A366" s="177" t="s">
        <v>25</v>
      </c>
      <c r="B366" s="178" t="s">
        <v>215</v>
      </c>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c r="AA366" s="196"/>
      <c r="AB366" s="196"/>
      <c r="AC366" s="196"/>
      <c r="AD366" s="196"/>
      <c r="AE366" s="196"/>
      <c r="AF366" s="196"/>
      <c r="AG366" s="196"/>
      <c r="AH366" s="196"/>
      <c r="AI366" s="196"/>
      <c r="AJ366" s="196"/>
      <c r="AK366" s="196"/>
      <c r="AL366" s="196"/>
      <c r="AM366" s="196"/>
      <c r="AN366" s="196"/>
      <c r="AO366" s="196"/>
      <c r="AP366" s="196"/>
      <c r="AQ366" s="245"/>
      <c r="AR366" s="196"/>
      <c r="AS366" s="196"/>
      <c r="AT366" s="196"/>
    </row>
    <row r="367" spans="1:46" hidden="1">
      <c r="A367" s="197">
        <v>1</v>
      </c>
      <c r="B367" s="197" t="s">
        <v>411</v>
      </c>
      <c r="C367" s="307">
        <f t="shared" ref="C367:C374" si="136">SUM(D367:H367)</f>
        <v>3.45</v>
      </c>
      <c r="D367" s="196"/>
      <c r="E367" s="196"/>
      <c r="F367" s="196">
        <v>0.28000000000000003</v>
      </c>
      <c r="G367" s="196">
        <v>2.92</v>
      </c>
      <c r="H367" s="237">
        <v>0.25</v>
      </c>
      <c r="I367" s="249">
        <f t="shared" ref="I367:I374" si="137">J367+P367</f>
        <v>0.5</v>
      </c>
      <c r="J367" s="240">
        <f t="shared" ref="J367:J374" si="138">SUM(K367:O367)</f>
        <v>0</v>
      </c>
      <c r="K367" s="196"/>
      <c r="L367" s="196"/>
      <c r="M367" s="196"/>
      <c r="N367" s="196"/>
      <c r="O367" s="196"/>
      <c r="P367" s="240">
        <f t="shared" ref="P367:P374" si="139">SUM(Q367:U367)</f>
        <v>0.5</v>
      </c>
      <c r="Q367" s="196"/>
      <c r="R367" s="196">
        <v>0.5</v>
      </c>
      <c r="S367" s="196"/>
      <c r="T367" s="196"/>
      <c r="U367" s="196"/>
      <c r="V367" s="238">
        <f t="shared" ref="V367:V374" si="140">D367*194.67+E367*173.04+F367*111.72+G367*111.72+H367*127.68+K367*86.255+L367*71.648+M367*84.489+N367*58.258+O367*53.065+Q367*72.658+R367*60.9+S367*74.716+T367*50.578+U367*46.62</f>
        <v>419.87400000000002</v>
      </c>
      <c r="W367" s="227">
        <f t="shared" ref="W367:W374" si="141">SUM(X367:AB367)</f>
        <v>3.45</v>
      </c>
      <c r="X367" s="237"/>
      <c r="Y367" s="237"/>
      <c r="Z367" s="237">
        <v>0.28000000000000003</v>
      </c>
      <c r="AA367" s="237">
        <v>2.92</v>
      </c>
      <c r="AB367" s="237">
        <v>0.25</v>
      </c>
      <c r="AC367" s="227">
        <v>1.5</v>
      </c>
      <c r="AD367" s="239">
        <f t="shared" ref="AD367:AD374" si="142">SUM(AE367:AI367)</f>
        <v>0</v>
      </c>
      <c r="AE367" s="237"/>
      <c r="AF367" s="237"/>
      <c r="AG367" s="237"/>
      <c r="AH367" s="237"/>
      <c r="AI367" s="237"/>
      <c r="AJ367" s="239">
        <f t="shared" ref="AJ367:AJ374" si="143">SUM(AK367:AO367)</f>
        <v>0.5</v>
      </c>
      <c r="AK367" s="237"/>
      <c r="AL367" s="237">
        <v>0.5</v>
      </c>
      <c r="AM367" s="237"/>
      <c r="AN367" s="237"/>
      <c r="AO367" s="237"/>
      <c r="AP367" s="196">
        <v>491.51</v>
      </c>
      <c r="AQ367" s="334">
        <f t="shared" ref="AQ367:AQ374" si="144">W367/C367</f>
        <v>1</v>
      </c>
      <c r="AR367" s="207">
        <f t="shared" ref="AR367:AR374" si="145">AC367/I367</f>
        <v>3</v>
      </c>
      <c r="AS367" s="196"/>
      <c r="AT367" s="196"/>
    </row>
    <row r="368" spans="1:46" hidden="1">
      <c r="A368" s="197">
        <v>2</v>
      </c>
      <c r="B368" s="197" t="s">
        <v>412</v>
      </c>
      <c r="C368" s="307">
        <f t="shared" si="136"/>
        <v>1</v>
      </c>
      <c r="D368" s="196"/>
      <c r="E368" s="196"/>
      <c r="F368" s="196"/>
      <c r="G368" s="196">
        <v>1</v>
      </c>
      <c r="H368" s="196"/>
      <c r="I368" s="249">
        <f t="shared" si="137"/>
        <v>1</v>
      </c>
      <c r="J368" s="240">
        <f t="shared" si="138"/>
        <v>0</v>
      </c>
      <c r="K368" s="196"/>
      <c r="L368" s="196"/>
      <c r="M368" s="196"/>
      <c r="N368" s="196"/>
      <c r="O368" s="196"/>
      <c r="P368" s="240">
        <f t="shared" si="139"/>
        <v>1</v>
      </c>
      <c r="Q368" s="196"/>
      <c r="R368" s="196">
        <v>1</v>
      </c>
      <c r="S368" s="196"/>
      <c r="T368" s="196"/>
      <c r="U368" s="196"/>
      <c r="V368" s="238">
        <f t="shared" si="140"/>
        <v>172.62</v>
      </c>
      <c r="W368" s="227">
        <f t="shared" si="141"/>
        <v>1.5</v>
      </c>
      <c r="X368" s="237"/>
      <c r="Y368" s="237">
        <v>1</v>
      </c>
      <c r="Z368" s="237">
        <v>0.5</v>
      </c>
      <c r="AA368" s="237"/>
      <c r="AB368" s="237"/>
      <c r="AC368" s="227"/>
      <c r="AD368" s="239">
        <f t="shared" si="142"/>
        <v>0</v>
      </c>
      <c r="AE368" s="237"/>
      <c r="AF368" s="237"/>
      <c r="AG368" s="237"/>
      <c r="AH368" s="237"/>
      <c r="AI368" s="237"/>
      <c r="AJ368" s="239">
        <f t="shared" si="143"/>
        <v>1</v>
      </c>
      <c r="AK368" s="237"/>
      <c r="AL368" s="237">
        <v>1</v>
      </c>
      <c r="AM368" s="237"/>
      <c r="AN368" s="237"/>
      <c r="AO368" s="237"/>
      <c r="AP368" s="196">
        <v>228.9</v>
      </c>
      <c r="AQ368" s="334">
        <f t="shared" si="144"/>
        <v>1.5</v>
      </c>
      <c r="AR368" s="207">
        <f t="shared" si="145"/>
        <v>0</v>
      </c>
      <c r="AS368" s="196"/>
      <c r="AT368" s="196"/>
    </row>
    <row r="369" spans="1:46" hidden="1">
      <c r="A369" s="197">
        <v>3</v>
      </c>
      <c r="B369" s="197" t="s">
        <v>413</v>
      </c>
      <c r="C369" s="307">
        <f t="shared" si="136"/>
        <v>3.91</v>
      </c>
      <c r="D369" s="196"/>
      <c r="E369" s="196"/>
      <c r="F369" s="237">
        <f>0.5+0.14</f>
        <v>0.64</v>
      </c>
      <c r="G369" s="237">
        <f>2.5+0.17</f>
        <v>2.67</v>
      </c>
      <c r="H369" s="196">
        <v>0.6</v>
      </c>
      <c r="I369" s="249">
        <f t="shared" si="137"/>
        <v>1</v>
      </c>
      <c r="J369" s="240">
        <f t="shared" si="138"/>
        <v>0</v>
      </c>
      <c r="K369" s="196"/>
      <c r="L369" s="196"/>
      <c r="M369" s="196"/>
      <c r="N369" s="196"/>
      <c r="O369" s="196"/>
      <c r="P369" s="240">
        <f t="shared" si="139"/>
        <v>1</v>
      </c>
      <c r="Q369" s="196"/>
      <c r="R369" s="196">
        <v>1</v>
      </c>
      <c r="S369" s="196"/>
      <c r="T369" s="196"/>
      <c r="U369" s="196"/>
      <c r="V369" s="238">
        <f t="shared" si="140"/>
        <v>507.30119999999994</v>
      </c>
      <c r="W369" s="227">
        <f t="shared" si="141"/>
        <v>1</v>
      </c>
      <c r="X369" s="237"/>
      <c r="Y369" s="237"/>
      <c r="Z369" s="237"/>
      <c r="AA369" s="237">
        <v>1</v>
      </c>
      <c r="AB369" s="237"/>
      <c r="AC369" s="227">
        <v>1</v>
      </c>
      <c r="AD369" s="239">
        <f t="shared" si="142"/>
        <v>0</v>
      </c>
      <c r="AE369" s="237"/>
      <c r="AF369" s="237"/>
      <c r="AG369" s="237"/>
      <c r="AH369" s="237"/>
      <c r="AI369" s="237"/>
      <c r="AJ369" s="239">
        <f t="shared" si="143"/>
        <v>1</v>
      </c>
      <c r="AK369" s="237"/>
      <c r="AL369" s="237">
        <v>1</v>
      </c>
      <c r="AM369" s="237"/>
      <c r="AN369" s="237"/>
      <c r="AO369" s="237"/>
      <c r="AP369" s="196">
        <v>172.62</v>
      </c>
      <c r="AQ369" s="334">
        <f t="shared" si="144"/>
        <v>0.25575447570332482</v>
      </c>
      <c r="AR369" s="207">
        <f t="shared" si="145"/>
        <v>1</v>
      </c>
      <c r="AS369" s="196"/>
      <c r="AT369" s="196"/>
    </row>
    <row r="370" spans="1:46" hidden="1">
      <c r="A370" s="197">
        <v>4</v>
      </c>
      <c r="B370" s="197" t="s">
        <v>414</v>
      </c>
      <c r="C370" s="307">
        <f t="shared" si="136"/>
        <v>4.74</v>
      </c>
      <c r="D370" s="196"/>
      <c r="E370" s="196"/>
      <c r="F370" s="237">
        <f>1.5+0.174</f>
        <v>1.6739999999999999</v>
      </c>
      <c r="G370" s="237">
        <f>2.5+0.566</f>
        <v>3.0659999999999998</v>
      </c>
      <c r="H370" s="196"/>
      <c r="I370" s="249">
        <f t="shared" si="137"/>
        <v>0</v>
      </c>
      <c r="J370" s="240">
        <f t="shared" si="138"/>
        <v>0</v>
      </c>
      <c r="K370" s="196"/>
      <c r="L370" s="196"/>
      <c r="M370" s="196"/>
      <c r="N370" s="196"/>
      <c r="O370" s="196"/>
      <c r="P370" s="240">
        <f t="shared" si="139"/>
        <v>0</v>
      </c>
      <c r="Q370" s="196"/>
      <c r="R370" s="196"/>
      <c r="S370" s="196"/>
      <c r="T370" s="196"/>
      <c r="U370" s="196"/>
      <c r="V370" s="238">
        <f t="shared" si="140"/>
        <v>529.55279999999993</v>
      </c>
      <c r="W370" s="227">
        <f t="shared" si="141"/>
        <v>3.9099999999999997</v>
      </c>
      <c r="X370" s="237"/>
      <c r="Y370" s="237"/>
      <c r="Z370" s="237">
        <v>0.78</v>
      </c>
      <c r="AA370" s="237">
        <v>2.5299999999999998</v>
      </c>
      <c r="AB370" s="237">
        <v>0.6</v>
      </c>
      <c r="AC370" s="227">
        <v>1</v>
      </c>
      <c r="AD370" s="239">
        <f t="shared" si="142"/>
        <v>0</v>
      </c>
      <c r="AE370" s="237"/>
      <c r="AF370" s="237"/>
      <c r="AG370" s="237"/>
      <c r="AH370" s="237"/>
      <c r="AI370" s="237"/>
      <c r="AJ370" s="239">
        <f t="shared" si="143"/>
        <v>0</v>
      </c>
      <c r="AK370" s="237"/>
      <c r="AL370" s="237"/>
      <c r="AM370" s="237"/>
      <c r="AN370" s="237"/>
      <c r="AO370" s="237"/>
      <c r="AP370" s="196">
        <v>507.29999999999995</v>
      </c>
      <c r="AQ370" s="334">
        <f t="shared" si="144"/>
        <v>0.82489451476793241</v>
      </c>
      <c r="AR370" s="207" t="e">
        <f t="shared" si="145"/>
        <v>#DIV/0!</v>
      </c>
      <c r="AS370" s="196"/>
      <c r="AT370" s="196"/>
    </row>
    <row r="371" spans="1:46" hidden="1">
      <c r="A371" s="197">
        <v>5</v>
      </c>
      <c r="B371" s="197" t="s">
        <v>415</v>
      </c>
      <c r="C371" s="307">
        <f t="shared" si="136"/>
        <v>2.3240000000000003</v>
      </c>
      <c r="D371" s="196"/>
      <c r="E371" s="237">
        <f>0.5+0.034</f>
        <v>0.53400000000000003</v>
      </c>
      <c r="F371" s="196">
        <v>0</v>
      </c>
      <c r="G371" s="237">
        <f>1.25+0.14</f>
        <v>1.3900000000000001</v>
      </c>
      <c r="H371" s="196">
        <v>0.4</v>
      </c>
      <c r="I371" s="249">
        <f t="shared" si="137"/>
        <v>0.6</v>
      </c>
      <c r="J371" s="240">
        <f t="shared" si="138"/>
        <v>0.6</v>
      </c>
      <c r="K371" s="196">
        <v>0.6</v>
      </c>
      <c r="L371" s="196"/>
      <c r="M371" s="196"/>
      <c r="N371" s="196"/>
      <c r="O371" s="196"/>
      <c r="P371" s="240">
        <f t="shared" si="139"/>
        <v>0</v>
      </c>
      <c r="Q371" s="196"/>
      <c r="R371" s="196"/>
      <c r="S371" s="196"/>
      <c r="T371" s="196"/>
      <c r="U371" s="196"/>
      <c r="V371" s="238">
        <f t="shared" si="140"/>
        <v>350.51916</v>
      </c>
      <c r="W371" s="227">
        <f t="shared" si="141"/>
        <v>4.74</v>
      </c>
      <c r="X371" s="237"/>
      <c r="Y371" s="237"/>
      <c r="Z371" s="237">
        <v>1.24</v>
      </c>
      <c r="AA371" s="237">
        <v>3.5</v>
      </c>
      <c r="AB371" s="237"/>
      <c r="AC371" s="227"/>
      <c r="AD371" s="239">
        <f t="shared" si="142"/>
        <v>0.6</v>
      </c>
      <c r="AE371" s="237">
        <v>0.6</v>
      </c>
      <c r="AF371" s="237"/>
      <c r="AG371" s="237"/>
      <c r="AH371" s="237"/>
      <c r="AI371" s="237"/>
      <c r="AJ371" s="239">
        <f t="shared" si="143"/>
        <v>0</v>
      </c>
      <c r="AK371" s="237"/>
      <c r="AL371" s="237"/>
      <c r="AM371" s="237"/>
      <c r="AN371" s="237"/>
      <c r="AO371" s="237"/>
      <c r="AP371" s="196">
        <v>529.57000000000005</v>
      </c>
      <c r="AQ371" s="334">
        <f t="shared" si="144"/>
        <v>2.0395869191049911</v>
      </c>
      <c r="AR371" s="207">
        <f t="shared" si="145"/>
        <v>0</v>
      </c>
      <c r="AS371" s="196"/>
      <c r="AT371" s="196"/>
    </row>
    <row r="372" spans="1:46" hidden="1">
      <c r="A372" s="197">
        <v>6</v>
      </c>
      <c r="B372" s="197" t="s">
        <v>416</v>
      </c>
      <c r="C372" s="307">
        <f t="shared" si="136"/>
        <v>3</v>
      </c>
      <c r="D372" s="196"/>
      <c r="E372" s="196"/>
      <c r="F372" s="196">
        <v>1.5</v>
      </c>
      <c r="G372" s="196">
        <v>1.5</v>
      </c>
      <c r="H372" s="196"/>
      <c r="I372" s="249">
        <f t="shared" si="137"/>
        <v>2.7</v>
      </c>
      <c r="J372" s="240">
        <f t="shared" si="138"/>
        <v>2</v>
      </c>
      <c r="K372" s="196"/>
      <c r="L372" s="196">
        <v>2</v>
      </c>
      <c r="M372" s="196"/>
      <c r="N372" s="196"/>
      <c r="O372" s="196"/>
      <c r="P372" s="240">
        <f t="shared" si="139"/>
        <v>0.7</v>
      </c>
      <c r="Q372" s="196"/>
      <c r="R372" s="196">
        <v>0.7</v>
      </c>
      <c r="S372" s="196"/>
      <c r="T372" s="196"/>
      <c r="U372" s="196"/>
      <c r="V372" s="238">
        <f t="shared" si="140"/>
        <v>521.08600000000001</v>
      </c>
      <c r="W372" s="227">
        <f t="shared" si="141"/>
        <v>0.75</v>
      </c>
      <c r="X372" s="237"/>
      <c r="Y372" s="237"/>
      <c r="Z372" s="237">
        <v>0.75</v>
      </c>
      <c r="AA372" s="237"/>
      <c r="AB372" s="237"/>
      <c r="AC372" s="227">
        <v>1</v>
      </c>
      <c r="AD372" s="239">
        <f t="shared" si="142"/>
        <v>0</v>
      </c>
      <c r="AE372" s="237"/>
      <c r="AF372" s="237"/>
      <c r="AG372" s="237"/>
      <c r="AH372" s="237"/>
      <c r="AI372" s="237"/>
      <c r="AJ372" s="239">
        <f t="shared" si="143"/>
        <v>0</v>
      </c>
      <c r="AK372" s="237"/>
      <c r="AL372" s="237"/>
      <c r="AM372" s="237"/>
      <c r="AN372" s="237"/>
      <c r="AO372" s="237"/>
      <c r="AP372" s="196">
        <v>155.44</v>
      </c>
      <c r="AQ372" s="334">
        <f t="shared" si="144"/>
        <v>0.25</v>
      </c>
      <c r="AR372" s="207">
        <f t="shared" si="145"/>
        <v>0.37037037037037035</v>
      </c>
      <c r="AS372" s="196"/>
      <c r="AT372" s="196"/>
    </row>
    <row r="373" spans="1:46" hidden="1">
      <c r="A373" s="197">
        <v>7</v>
      </c>
      <c r="B373" s="197" t="s">
        <v>417</v>
      </c>
      <c r="C373" s="307">
        <f t="shared" si="136"/>
        <v>0.75</v>
      </c>
      <c r="D373" s="196"/>
      <c r="E373" s="196"/>
      <c r="F373" s="196">
        <v>0.75</v>
      </c>
      <c r="G373" s="196"/>
      <c r="H373" s="196"/>
      <c r="I373" s="249">
        <f t="shared" si="137"/>
        <v>1</v>
      </c>
      <c r="J373" s="240">
        <f t="shared" si="138"/>
        <v>1</v>
      </c>
      <c r="K373" s="196"/>
      <c r="L373" s="196">
        <v>1</v>
      </c>
      <c r="M373" s="196"/>
      <c r="N373" s="196"/>
      <c r="O373" s="196"/>
      <c r="P373" s="240">
        <f t="shared" si="139"/>
        <v>0</v>
      </c>
      <c r="Q373" s="196"/>
      <c r="R373" s="196"/>
      <c r="S373" s="196"/>
      <c r="T373" s="196"/>
      <c r="U373" s="196"/>
      <c r="V373" s="238">
        <f t="shared" si="140"/>
        <v>155.43799999999999</v>
      </c>
      <c r="W373" s="227">
        <f t="shared" si="141"/>
        <v>3</v>
      </c>
      <c r="X373" s="237"/>
      <c r="Y373" s="237"/>
      <c r="Z373" s="237">
        <v>0.89500000000000002</v>
      </c>
      <c r="AA373" s="237">
        <v>2.105</v>
      </c>
      <c r="AB373" s="237"/>
      <c r="AC373" s="227">
        <v>1.7</v>
      </c>
      <c r="AD373" s="239">
        <f t="shared" si="142"/>
        <v>1</v>
      </c>
      <c r="AE373" s="237"/>
      <c r="AF373" s="237">
        <v>1</v>
      </c>
      <c r="AG373" s="237"/>
      <c r="AH373" s="237"/>
      <c r="AI373" s="237"/>
      <c r="AJ373" s="239">
        <f t="shared" si="143"/>
        <v>0</v>
      </c>
      <c r="AK373" s="237"/>
      <c r="AL373" s="237"/>
      <c r="AM373" s="237"/>
      <c r="AN373" s="237"/>
      <c r="AO373" s="237"/>
      <c r="AP373" s="196">
        <v>449.43</v>
      </c>
      <c r="AQ373" s="334">
        <f t="shared" si="144"/>
        <v>4</v>
      </c>
      <c r="AR373" s="207">
        <f t="shared" si="145"/>
        <v>1.7</v>
      </c>
      <c r="AS373" s="196"/>
      <c r="AT373" s="196"/>
    </row>
    <row r="374" spans="1:46" hidden="1">
      <c r="A374" s="197">
        <v>8</v>
      </c>
      <c r="B374" s="197" t="s">
        <v>418</v>
      </c>
      <c r="C374" s="307">
        <f t="shared" si="136"/>
        <v>1.5</v>
      </c>
      <c r="D374" s="196"/>
      <c r="E374" s="196">
        <v>1</v>
      </c>
      <c r="F374" s="196">
        <v>0.5</v>
      </c>
      <c r="G374" s="196"/>
      <c r="H374" s="196"/>
      <c r="I374" s="249">
        <f t="shared" si="137"/>
        <v>0</v>
      </c>
      <c r="J374" s="240">
        <f t="shared" si="138"/>
        <v>0</v>
      </c>
      <c r="K374" s="196"/>
      <c r="L374" s="196"/>
      <c r="M374" s="196"/>
      <c r="N374" s="196"/>
      <c r="O374" s="196"/>
      <c r="P374" s="240">
        <f t="shared" si="139"/>
        <v>0</v>
      </c>
      <c r="Q374" s="196"/>
      <c r="R374" s="196"/>
      <c r="S374" s="196"/>
      <c r="T374" s="196"/>
      <c r="U374" s="196"/>
      <c r="V374" s="238">
        <f t="shared" si="140"/>
        <v>228.89999999999998</v>
      </c>
      <c r="W374" s="227">
        <f t="shared" si="141"/>
        <v>2.3239999999999998</v>
      </c>
      <c r="X374" s="237"/>
      <c r="Y374" s="237">
        <v>0.53400000000000003</v>
      </c>
      <c r="Z374" s="237"/>
      <c r="AA374" s="237">
        <v>1.39</v>
      </c>
      <c r="AB374" s="237">
        <v>0.4</v>
      </c>
      <c r="AC374" s="227">
        <v>0.6</v>
      </c>
      <c r="AD374" s="239">
        <f t="shared" si="142"/>
        <v>0</v>
      </c>
      <c r="AE374" s="237"/>
      <c r="AF374" s="237"/>
      <c r="AG374" s="237"/>
      <c r="AH374" s="237"/>
      <c r="AI374" s="237"/>
      <c r="AJ374" s="239">
        <f t="shared" si="143"/>
        <v>0</v>
      </c>
      <c r="AK374" s="237"/>
      <c r="AL374" s="237"/>
      <c r="AM374" s="237"/>
      <c r="AN374" s="237"/>
      <c r="AO374" s="237"/>
      <c r="AP374" s="196">
        <v>350.51</v>
      </c>
      <c r="AQ374" s="334">
        <f t="shared" si="144"/>
        <v>1.5493333333333332</v>
      </c>
      <c r="AR374" s="207" t="e">
        <f t="shared" si="145"/>
        <v>#DIV/0!</v>
      </c>
      <c r="AS374" s="196"/>
      <c r="AT374" s="196"/>
    </row>
    <row r="375" spans="1:46" hidden="1">
      <c r="A375" s="177" t="s">
        <v>26</v>
      </c>
      <c r="B375" s="178" t="s">
        <v>295</v>
      </c>
      <c r="C375" s="196"/>
      <c r="D375" s="196"/>
      <c r="E375" s="196"/>
      <c r="F375" s="196"/>
      <c r="G375" s="196"/>
      <c r="H375" s="196"/>
      <c r="I375" s="196"/>
      <c r="J375" s="196"/>
      <c r="K375" s="196"/>
      <c r="L375" s="196"/>
      <c r="M375" s="196"/>
      <c r="N375" s="196"/>
      <c r="O375" s="196"/>
      <c r="P375" s="196"/>
      <c r="Q375" s="196"/>
      <c r="R375" s="196"/>
      <c r="S375" s="196"/>
      <c r="T375" s="196"/>
      <c r="U375" s="196"/>
      <c r="V375" s="238"/>
      <c r="W375" s="196"/>
      <c r="X375" s="196"/>
      <c r="Y375" s="196"/>
      <c r="Z375" s="196"/>
      <c r="AA375" s="196"/>
      <c r="AB375" s="196"/>
      <c r="AC375" s="196"/>
      <c r="AD375" s="196"/>
      <c r="AE375" s="196"/>
      <c r="AF375" s="196"/>
      <c r="AG375" s="196"/>
      <c r="AH375" s="196"/>
      <c r="AI375" s="196"/>
      <c r="AJ375" s="196"/>
      <c r="AK375" s="196"/>
      <c r="AL375" s="196"/>
      <c r="AM375" s="196"/>
      <c r="AN375" s="196"/>
      <c r="AO375" s="196"/>
      <c r="AP375" s="196">
        <v>0</v>
      </c>
      <c r="AQ375" s="245"/>
      <c r="AR375" s="196"/>
      <c r="AS375" s="196"/>
      <c r="AT375" s="196"/>
    </row>
    <row r="376" spans="1:46" ht="15.5" hidden="1">
      <c r="A376" s="303">
        <v>1</v>
      </c>
      <c r="B376" s="279" t="s">
        <v>419</v>
      </c>
      <c r="C376" s="305">
        <f>D376+E376+F376+G376</f>
        <v>1.5</v>
      </c>
      <c r="D376" s="306"/>
      <c r="E376" s="303">
        <f>1+0.5</f>
        <v>1.5</v>
      </c>
      <c r="F376" s="303"/>
      <c r="G376" s="306"/>
      <c r="H376" s="196"/>
      <c r="I376" s="249">
        <f>J376+P376</f>
        <v>0.3</v>
      </c>
      <c r="J376" s="240">
        <f>SUM(K376:O376)</f>
        <v>0</v>
      </c>
      <c r="K376" s="196"/>
      <c r="L376" s="196"/>
      <c r="M376" s="196"/>
      <c r="N376" s="196"/>
      <c r="O376" s="196"/>
      <c r="P376" s="240">
        <f>SUM(Q376:U376)</f>
        <v>0.3</v>
      </c>
      <c r="Q376" s="196"/>
      <c r="R376" s="196"/>
      <c r="S376" s="196"/>
      <c r="T376" s="196">
        <v>0.3</v>
      </c>
      <c r="U376" s="196"/>
      <c r="V376" s="238">
        <f>D376*194.67+E376*173.04+F376*111.72+G376*111.72+H376*127.68+K376*86.255+L376*71.648+M376*84.489+N376*58.258+O376*53.065+Q376*72.658+R376*60.9+S376*74.716+T376*50.578+U376*46.62</f>
        <v>274.73340000000002</v>
      </c>
      <c r="W376" s="227">
        <f>SUM(X376:AB376)</f>
        <v>1.5</v>
      </c>
      <c r="X376" s="237"/>
      <c r="Y376" s="237">
        <v>1.5</v>
      </c>
      <c r="Z376" s="237"/>
      <c r="AA376" s="237"/>
      <c r="AB376" s="237"/>
      <c r="AC376" s="227">
        <v>0.3</v>
      </c>
      <c r="AD376" s="239">
        <f>SUM(AE376:AI376)</f>
        <v>0</v>
      </c>
      <c r="AE376" s="237"/>
      <c r="AF376" s="237"/>
      <c r="AG376" s="237"/>
      <c r="AH376" s="237"/>
      <c r="AI376" s="237"/>
      <c r="AJ376" s="239">
        <f>SUM(AK376:AO376)</f>
        <v>0.3</v>
      </c>
      <c r="AK376" s="237"/>
      <c r="AL376" s="237"/>
      <c r="AM376" s="237"/>
      <c r="AN376" s="237">
        <v>0.3</v>
      </c>
      <c r="AO376" s="237"/>
      <c r="AP376" s="196">
        <v>274.733</v>
      </c>
      <c r="AQ376" s="334">
        <f>W376/C376</f>
        <v>1</v>
      </c>
      <c r="AR376" s="207">
        <f>AC376/I376</f>
        <v>1</v>
      </c>
      <c r="AS376" s="196"/>
      <c r="AT376" s="196"/>
    </row>
    <row r="377" spans="1:46" hidden="1">
      <c r="A377" s="196"/>
      <c r="B377" s="241" t="s">
        <v>1</v>
      </c>
      <c r="C377" s="227">
        <f t="shared" ref="C377:AP377" si="146">SUM(C367:C376)</f>
        <v>22.173999999999999</v>
      </c>
      <c r="D377" s="227">
        <f t="shared" si="146"/>
        <v>0</v>
      </c>
      <c r="E377" s="227">
        <f t="shared" si="146"/>
        <v>3.0339999999999998</v>
      </c>
      <c r="F377" s="227">
        <f t="shared" si="146"/>
        <v>5.3439999999999994</v>
      </c>
      <c r="G377" s="227">
        <f t="shared" si="146"/>
        <v>12.545999999999999</v>
      </c>
      <c r="H377" s="227">
        <f t="shared" si="146"/>
        <v>1.25</v>
      </c>
      <c r="I377" s="227">
        <f t="shared" si="146"/>
        <v>7.1000000000000005</v>
      </c>
      <c r="J377" s="227">
        <f t="shared" si="146"/>
        <v>3.6</v>
      </c>
      <c r="K377" s="227">
        <f t="shared" si="146"/>
        <v>0.6</v>
      </c>
      <c r="L377" s="227">
        <f t="shared" si="146"/>
        <v>3</v>
      </c>
      <c r="M377" s="227">
        <f t="shared" si="146"/>
        <v>0</v>
      </c>
      <c r="N377" s="227">
        <f t="shared" si="146"/>
        <v>0</v>
      </c>
      <c r="O377" s="227">
        <f t="shared" si="146"/>
        <v>0</v>
      </c>
      <c r="P377" s="227">
        <f t="shared" si="146"/>
        <v>3.5</v>
      </c>
      <c r="Q377" s="227">
        <f t="shared" si="146"/>
        <v>0</v>
      </c>
      <c r="R377" s="227">
        <f t="shared" si="146"/>
        <v>3.2</v>
      </c>
      <c r="S377" s="227">
        <f t="shared" si="146"/>
        <v>0</v>
      </c>
      <c r="T377" s="227">
        <f t="shared" si="146"/>
        <v>0.3</v>
      </c>
      <c r="U377" s="227">
        <f t="shared" si="146"/>
        <v>0</v>
      </c>
      <c r="V377" s="242">
        <f t="shared" si="146"/>
        <v>3160.0245600000003</v>
      </c>
      <c r="W377" s="227">
        <f t="shared" si="146"/>
        <v>22.173999999999999</v>
      </c>
      <c r="X377" s="227">
        <f t="shared" si="146"/>
        <v>0</v>
      </c>
      <c r="Y377" s="227">
        <f t="shared" si="146"/>
        <v>3.0339999999999998</v>
      </c>
      <c r="Z377" s="227">
        <f t="shared" si="146"/>
        <v>4.4450000000000003</v>
      </c>
      <c r="AA377" s="227">
        <f t="shared" si="146"/>
        <v>13.445</v>
      </c>
      <c r="AB377" s="227">
        <f t="shared" si="146"/>
        <v>1.25</v>
      </c>
      <c r="AC377" s="227">
        <f t="shared" si="146"/>
        <v>7.1</v>
      </c>
      <c r="AD377" s="227">
        <f t="shared" si="146"/>
        <v>1.6</v>
      </c>
      <c r="AE377" s="227">
        <f t="shared" si="146"/>
        <v>0.6</v>
      </c>
      <c r="AF377" s="227">
        <f t="shared" si="146"/>
        <v>1</v>
      </c>
      <c r="AG377" s="227">
        <f t="shared" si="146"/>
        <v>0</v>
      </c>
      <c r="AH377" s="227">
        <f t="shared" si="146"/>
        <v>0</v>
      </c>
      <c r="AI377" s="227">
        <f t="shared" si="146"/>
        <v>0</v>
      </c>
      <c r="AJ377" s="227">
        <f t="shared" si="146"/>
        <v>2.8</v>
      </c>
      <c r="AK377" s="227">
        <f t="shared" si="146"/>
        <v>0</v>
      </c>
      <c r="AL377" s="227">
        <f t="shared" si="146"/>
        <v>2.5</v>
      </c>
      <c r="AM377" s="227">
        <f t="shared" si="146"/>
        <v>0</v>
      </c>
      <c r="AN377" s="227">
        <f t="shared" si="146"/>
        <v>0.3</v>
      </c>
      <c r="AO377" s="227">
        <f t="shared" si="146"/>
        <v>0</v>
      </c>
      <c r="AP377" s="227">
        <f t="shared" si="146"/>
        <v>3160.0129999999999</v>
      </c>
      <c r="AQ377" s="332">
        <f>W377/C377</f>
        <v>1</v>
      </c>
      <c r="AR377" s="226">
        <f>AC377/I377</f>
        <v>0.99999999999999989</v>
      </c>
      <c r="AS377" s="227">
        <f>SUM(AS367:AS376)</f>
        <v>0</v>
      </c>
      <c r="AT377" s="227">
        <f>SUM(AT367:AT376)</f>
        <v>0</v>
      </c>
    </row>
    <row r="378" spans="1:46" hidden="1">
      <c r="C378" s="171">
        <v>20.2</v>
      </c>
      <c r="D378" s="273">
        <f>C377-C378</f>
        <v>1.9740000000000002</v>
      </c>
    </row>
    <row r="379" spans="1:46" hidden="1"/>
    <row r="380" spans="1:46" hidden="1">
      <c r="B380" s="538" t="s">
        <v>190</v>
      </c>
      <c r="C380" s="539"/>
      <c r="D380" s="539"/>
      <c r="E380" s="539"/>
      <c r="F380" s="539"/>
      <c r="V380" s="173" t="s">
        <v>191</v>
      </c>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331"/>
    </row>
    <row r="381" spans="1:46" hidden="1">
      <c r="B381" s="538" t="s">
        <v>420</v>
      </c>
      <c r="C381" s="539"/>
      <c r="D381" s="539"/>
      <c r="E381" s="539"/>
      <c r="F381" s="539"/>
      <c r="V381" s="173" t="s">
        <v>193</v>
      </c>
      <c r="W381" s="174"/>
      <c r="X381" s="174"/>
      <c r="Y381" s="174"/>
      <c r="Z381" s="174"/>
      <c r="AA381" s="174"/>
      <c r="AB381" s="174"/>
      <c r="AC381" s="174"/>
      <c r="AD381" s="174"/>
      <c r="AE381" s="174"/>
      <c r="AF381" s="174"/>
      <c r="AG381" s="174"/>
      <c r="AH381" s="174"/>
      <c r="AI381" s="174"/>
      <c r="AJ381" s="174"/>
      <c r="AK381" s="174"/>
      <c r="AL381" s="174"/>
      <c r="AM381" s="174"/>
      <c r="AN381" s="174"/>
      <c r="AO381" s="174"/>
      <c r="AP381" s="174"/>
      <c r="AQ381" s="331"/>
    </row>
    <row r="382" spans="1:46" hidden="1">
      <c r="B382" s="172"/>
      <c r="C382" s="172"/>
      <c r="D382" s="172"/>
      <c r="E382" s="172"/>
      <c r="F382" s="172"/>
      <c r="V382" s="173"/>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331"/>
    </row>
    <row r="383" spans="1:46" hidden="1">
      <c r="A383" s="542" t="str">
        <f>A5</f>
        <v>Biểu 5: KẾT QUẢ THỰC HIỆN KẾ HOẠCH LÀM ĐƯỜNG GTNT, RÃNH THOÁT NƯỚC THEO CƠ CHẾ HỖ TRỢ XI MĂNG ĐẾN NGÀY 19/12/2016</v>
      </c>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2"/>
      <c r="AL383" s="542"/>
      <c r="AM383" s="542"/>
      <c r="AN383" s="542"/>
      <c r="AO383" s="542"/>
      <c r="AP383" s="542"/>
      <c r="AQ383" s="542"/>
      <c r="AR383" s="542"/>
      <c r="AS383" s="542"/>
      <c r="AT383" s="542"/>
    </row>
    <row r="384" spans="1:46" hidden="1">
      <c r="A384" s="543"/>
      <c r="B384" s="543"/>
      <c r="C384" s="543"/>
      <c r="D384" s="543"/>
      <c r="E384" s="543"/>
      <c r="F384" s="543"/>
      <c r="G384" s="543"/>
      <c r="H384" s="543"/>
      <c r="I384" s="543"/>
      <c r="J384" s="543"/>
      <c r="K384" s="543"/>
      <c r="L384" s="543"/>
      <c r="M384" s="543"/>
      <c r="N384" s="543"/>
      <c r="O384" s="543"/>
      <c r="P384" s="543"/>
      <c r="Q384" s="543"/>
      <c r="R384" s="543"/>
      <c r="S384" s="543"/>
      <c r="T384" s="543"/>
      <c r="U384" s="543"/>
      <c r="V384" s="543"/>
      <c r="W384" s="543"/>
      <c r="X384" s="543"/>
      <c r="Y384" s="543"/>
      <c r="Z384" s="543"/>
      <c r="AA384" s="543"/>
      <c r="AB384" s="543"/>
      <c r="AC384" s="543"/>
      <c r="AD384" s="543"/>
      <c r="AE384" s="543"/>
      <c r="AF384" s="543"/>
      <c r="AG384" s="543"/>
      <c r="AH384" s="543"/>
      <c r="AI384" s="543"/>
      <c r="AJ384" s="543"/>
      <c r="AK384" s="543"/>
      <c r="AL384" s="543"/>
      <c r="AM384" s="543"/>
      <c r="AN384" s="543"/>
      <c r="AO384" s="543"/>
      <c r="AP384" s="543"/>
      <c r="AQ384" s="543"/>
      <c r="AR384" s="543"/>
      <c r="AS384" s="543"/>
      <c r="AT384" s="543"/>
    </row>
    <row r="385" spans="1:46" ht="14.25" hidden="1" customHeight="1">
      <c r="A385" s="544" t="s">
        <v>0</v>
      </c>
      <c r="B385" s="533" t="s">
        <v>161</v>
      </c>
      <c r="C385" s="546" t="s">
        <v>162</v>
      </c>
      <c r="D385" s="546"/>
      <c r="E385" s="546"/>
      <c r="F385" s="546"/>
      <c r="G385" s="546"/>
      <c r="H385" s="546"/>
      <c r="I385" s="546"/>
      <c r="J385" s="546"/>
      <c r="K385" s="546"/>
      <c r="L385" s="546"/>
      <c r="M385" s="546"/>
      <c r="N385" s="546"/>
      <c r="O385" s="546"/>
      <c r="P385" s="546"/>
      <c r="Q385" s="546"/>
      <c r="R385" s="546"/>
      <c r="S385" s="546"/>
      <c r="T385" s="546"/>
      <c r="U385" s="546"/>
      <c r="V385" s="546"/>
      <c r="W385" s="547" t="s">
        <v>163</v>
      </c>
      <c r="X385" s="547"/>
      <c r="Y385" s="547"/>
      <c r="Z385" s="547"/>
      <c r="AA385" s="547"/>
      <c r="AB385" s="547"/>
      <c r="AC385" s="547"/>
      <c r="AD385" s="547"/>
      <c r="AE385" s="547"/>
      <c r="AF385" s="547"/>
      <c r="AG385" s="547"/>
      <c r="AH385" s="547"/>
      <c r="AI385" s="547"/>
      <c r="AJ385" s="547"/>
      <c r="AK385" s="547"/>
      <c r="AL385" s="547"/>
      <c r="AM385" s="547"/>
      <c r="AN385" s="547"/>
      <c r="AO385" s="547"/>
      <c r="AP385" s="547"/>
      <c r="AQ385" s="547" t="s">
        <v>164</v>
      </c>
      <c r="AR385" s="547"/>
      <c r="AS385" s="547" t="s">
        <v>165</v>
      </c>
      <c r="AT385" s="547"/>
    </row>
    <row r="386" spans="1:46" ht="15" hidden="1" customHeight="1">
      <c r="A386" s="545"/>
      <c r="B386" s="534"/>
      <c r="C386" s="533" t="s">
        <v>166</v>
      </c>
      <c r="D386" s="536" t="s">
        <v>167</v>
      </c>
      <c r="E386" s="536"/>
      <c r="F386" s="536"/>
      <c r="G386" s="536"/>
      <c r="H386" s="536"/>
      <c r="I386" s="533" t="s">
        <v>168</v>
      </c>
      <c r="J386" s="537" t="s">
        <v>167</v>
      </c>
      <c r="K386" s="537"/>
      <c r="L386" s="537"/>
      <c r="M386" s="537"/>
      <c r="N386" s="537"/>
      <c r="O386" s="537"/>
      <c r="P386" s="537"/>
      <c r="Q386" s="537"/>
      <c r="R386" s="537"/>
      <c r="S386" s="537"/>
      <c r="T386" s="537"/>
      <c r="U386" s="537"/>
      <c r="V386" s="552" t="s">
        <v>169</v>
      </c>
      <c r="W386" s="533" t="s">
        <v>170</v>
      </c>
      <c r="X386" s="555" t="s">
        <v>167</v>
      </c>
      <c r="Y386" s="555"/>
      <c r="Z386" s="555"/>
      <c r="AA386" s="555"/>
      <c r="AB386" s="555"/>
      <c r="AC386" s="533" t="s">
        <v>168</v>
      </c>
      <c r="AD386" s="537" t="s">
        <v>167</v>
      </c>
      <c r="AE386" s="537"/>
      <c r="AF386" s="537"/>
      <c r="AG386" s="537"/>
      <c r="AH386" s="537"/>
      <c r="AI386" s="537"/>
      <c r="AJ386" s="537"/>
      <c r="AK386" s="537"/>
      <c r="AL386" s="537"/>
      <c r="AM386" s="537"/>
      <c r="AN386" s="537"/>
      <c r="AO386" s="537"/>
      <c r="AP386" s="552" t="s">
        <v>171</v>
      </c>
      <c r="AQ386" s="548" t="s">
        <v>172</v>
      </c>
      <c r="AR386" s="548" t="s">
        <v>173</v>
      </c>
      <c r="AS386" s="548" t="s">
        <v>170</v>
      </c>
      <c r="AT386" s="548" t="s">
        <v>168</v>
      </c>
    </row>
    <row r="387" spans="1:46" ht="15" hidden="1" customHeight="1">
      <c r="A387" s="545"/>
      <c r="B387" s="534"/>
      <c r="C387" s="534"/>
      <c r="D387" s="552" t="s">
        <v>174</v>
      </c>
      <c r="E387" s="552" t="s">
        <v>175</v>
      </c>
      <c r="F387" s="552" t="s">
        <v>176</v>
      </c>
      <c r="G387" s="552" t="s">
        <v>177</v>
      </c>
      <c r="H387" s="552" t="s">
        <v>178</v>
      </c>
      <c r="I387" s="534"/>
      <c r="J387" s="537" t="s">
        <v>179</v>
      </c>
      <c r="K387" s="537"/>
      <c r="L387" s="537"/>
      <c r="M387" s="537"/>
      <c r="N387" s="537"/>
      <c r="O387" s="537"/>
      <c r="P387" s="537" t="s">
        <v>180</v>
      </c>
      <c r="Q387" s="537"/>
      <c r="R387" s="537"/>
      <c r="S387" s="537"/>
      <c r="T387" s="537"/>
      <c r="U387" s="537"/>
      <c r="V387" s="553"/>
      <c r="W387" s="534"/>
      <c r="X387" s="552" t="s">
        <v>174</v>
      </c>
      <c r="Y387" s="552" t="s">
        <v>175</v>
      </c>
      <c r="Z387" s="552" t="s">
        <v>176</v>
      </c>
      <c r="AA387" s="552" t="s">
        <v>177</v>
      </c>
      <c r="AB387" s="552" t="s">
        <v>178</v>
      </c>
      <c r="AC387" s="534"/>
      <c r="AD387" s="537" t="s">
        <v>179</v>
      </c>
      <c r="AE387" s="537"/>
      <c r="AF387" s="537"/>
      <c r="AG387" s="537"/>
      <c r="AH387" s="537"/>
      <c r="AI387" s="537"/>
      <c r="AJ387" s="537" t="s">
        <v>180</v>
      </c>
      <c r="AK387" s="537"/>
      <c r="AL387" s="537"/>
      <c r="AM387" s="537"/>
      <c r="AN387" s="537"/>
      <c r="AO387" s="537"/>
      <c r="AP387" s="553"/>
      <c r="AQ387" s="549"/>
      <c r="AR387" s="549"/>
      <c r="AS387" s="549"/>
      <c r="AT387" s="549"/>
    </row>
    <row r="388" spans="1:46" ht="15.5" hidden="1">
      <c r="A388" s="179"/>
      <c r="B388" s="534"/>
      <c r="C388" s="534"/>
      <c r="D388" s="553"/>
      <c r="E388" s="553"/>
      <c r="F388" s="553"/>
      <c r="G388" s="553"/>
      <c r="H388" s="553"/>
      <c r="I388" s="534"/>
      <c r="J388" s="556" t="s">
        <v>1</v>
      </c>
      <c r="K388" s="551" t="s">
        <v>181</v>
      </c>
      <c r="L388" s="551"/>
      <c r="M388" s="551" t="s">
        <v>182</v>
      </c>
      <c r="N388" s="551"/>
      <c r="O388" s="551" t="s">
        <v>183</v>
      </c>
      <c r="P388" s="556" t="s">
        <v>1</v>
      </c>
      <c r="Q388" s="551" t="s">
        <v>181</v>
      </c>
      <c r="R388" s="551"/>
      <c r="S388" s="551" t="s">
        <v>182</v>
      </c>
      <c r="T388" s="551"/>
      <c r="U388" s="551" t="s">
        <v>183</v>
      </c>
      <c r="V388" s="553"/>
      <c r="W388" s="534"/>
      <c r="X388" s="553"/>
      <c r="Y388" s="553"/>
      <c r="Z388" s="553"/>
      <c r="AA388" s="553"/>
      <c r="AB388" s="553"/>
      <c r="AC388" s="534"/>
      <c r="AD388" s="556" t="s">
        <v>1</v>
      </c>
      <c r="AE388" s="551" t="s">
        <v>181</v>
      </c>
      <c r="AF388" s="551"/>
      <c r="AG388" s="551" t="s">
        <v>182</v>
      </c>
      <c r="AH388" s="551"/>
      <c r="AI388" s="551" t="s">
        <v>183</v>
      </c>
      <c r="AJ388" s="556" t="s">
        <v>1</v>
      </c>
      <c r="AK388" s="551" t="s">
        <v>181</v>
      </c>
      <c r="AL388" s="551"/>
      <c r="AM388" s="551" t="s">
        <v>182</v>
      </c>
      <c r="AN388" s="551"/>
      <c r="AO388" s="551" t="s">
        <v>183</v>
      </c>
      <c r="AP388" s="553"/>
      <c r="AQ388" s="549"/>
      <c r="AR388" s="549"/>
      <c r="AS388" s="549"/>
      <c r="AT388" s="549"/>
    </row>
    <row r="389" spans="1:46" ht="90" hidden="1" customHeight="1">
      <c r="A389" s="179"/>
      <c r="B389" s="535"/>
      <c r="C389" s="535"/>
      <c r="D389" s="554"/>
      <c r="E389" s="554"/>
      <c r="F389" s="554"/>
      <c r="G389" s="554"/>
      <c r="H389" s="554"/>
      <c r="I389" s="535"/>
      <c r="J389" s="557"/>
      <c r="K389" s="186" t="s">
        <v>184</v>
      </c>
      <c r="L389" s="186" t="s">
        <v>185</v>
      </c>
      <c r="M389" s="186" t="s">
        <v>184</v>
      </c>
      <c r="N389" s="186" t="s">
        <v>185</v>
      </c>
      <c r="O389" s="551"/>
      <c r="P389" s="557"/>
      <c r="Q389" s="186" t="s">
        <v>184</v>
      </c>
      <c r="R389" s="186" t="s">
        <v>185</v>
      </c>
      <c r="S389" s="186" t="s">
        <v>184</v>
      </c>
      <c r="T389" s="186" t="s">
        <v>185</v>
      </c>
      <c r="U389" s="551"/>
      <c r="V389" s="554"/>
      <c r="W389" s="535"/>
      <c r="X389" s="554"/>
      <c r="Y389" s="554"/>
      <c r="Z389" s="554"/>
      <c r="AA389" s="554"/>
      <c r="AB389" s="554"/>
      <c r="AC389" s="535"/>
      <c r="AD389" s="557"/>
      <c r="AE389" s="186" t="s">
        <v>184</v>
      </c>
      <c r="AF389" s="186" t="s">
        <v>185</v>
      </c>
      <c r="AG389" s="186" t="s">
        <v>184</v>
      </c>
      <c r="AH389" s="186" t="s">
        <v>185</v>
      </c>
      <c r="AI389" s="551"/>
      <c r="AJ389" s="557"/>
      <c r="AK389" s="186" t="s">
        <v>184</v>
      </c>
      <c r="AL389" s="186" t="s">
        <v>185</v>
      </c>
      <c r="AM389" s="186" t="s">
        <v>184</v>
      </c>
      <c r="AN389" s="186" t="s">
        <v>185</v>
      </c>
      <c r="AO389" s="551"/>
      <c r="AP389" s="554"/>
      <c r="AQ389" s="550"/>
      <c r="AR389" s="550"/>
      <c r="AS389" s="550"/>
      <c r="AT389" s="550"/>
    </row>
    <row r="390" spans="1:46" hidden="1">
      <c r="A390" s="177" t="s">
        <v>25</v>
      </c>
      <c r="B390" s="178" t="s">
        <v>215</v>
      </c>
      <c r="C390" s="196"/>
      <c r="D390" s="196"/>
      <c r="E390" s="196"/>
      <c r="F390" s="196"/>
      <c r="G390" s="196"/>
      <c r="H390" s="196"/>
      <c r="I390" s="196"/>
      <c r="J390" s="196"/>
      <c r="K390" s="262"/>
      <c r="L390" s="196"/>
      <c r="M390" s="196"/>
      <c r="N390" s="196"/>
      <c r="O390" s="196"/>
      <c r="P390" s="196"/>
      <c r="Q390" s="196"/>
      <c r="R390" s="196"/>
      <c r="S390" s="196"/>
      <c r="T390" s="196"/>
      <c r="U390" s="196"/>
      <c r="V390" s="196"/>
      <c r="W390" s="196"/>
      <c r="X390" s="196"/>
      <c r="Y390" s="196"/>
      <c r="Z390" s="196"/>
      <c r="AA390" s="196"/>
      <c r="AB390" s="196"/>
      <c r="AC390" s="196"/>
      <c r="AD390" s="196"/>
      <c r="AE390" s="196"/>
      <c r="AF390" s="196"/>
      <c r="AG390" s="196"/>
      <c r="AH390" s="196"/>
      <c r="AI390" s="196"/>
      <c r="AJ390" s="196"/>
      <c r="AK390" s="196"/>
      <c r="AL390" s="196"/>
      <c r="AM390" s="196"/>
      <c r="AN390" s="196"/>
      <c r="AO390" s="196"/>
      <c r="AP390" s="196"/>
      <c r="AQ390" s="245"/>
      <c r="AR390" s="196"/>
      <c r="AS390" s="196"/>
      <c r="AT390" s="196"/>
    </row>
    <row r="391" spans="1:46" ht="16.5" hidden="1">
      <c r="A391" s="308">
        <v>1</v>
      </c>
      <c r="B391" s="309" t="s">
        <v>421</v>
      </c>
      <c r="C391" s="310">
        <f t="shared" ref="C391:C411" si="147">SUM(D391:H391)</f>
        <v>8.3000000000000007</v>
      </c>
      <c r="D391" s="311">
        <v>0</v>
      </c>
      <c r="E391" s="311">
        <v>1.34</v>
      </c>
      <c r="F391" s="311">
        <v>5.74</v>
      </c>
      <c r="G391" s="311">
        <v>0.75</v>
      </c>
      <c r="H391" s="311">
        <v>0.47</v>
      </c>
      <c r="I391" s="249">
        <f t="shared" ref="I391:I411" si="148">J391+P391</f>
        <v>2.79</v>
      </c>
      <c r="J391" s="240">
        <f t="shared" ref="J391:J411" si="149">SUM(K391:O391)</f>
        <v>1.4300000000000002</v>
      </c>
      <c r="K391" s="262">
        <v>0.63</v>
      </c>
      <c r="L391" s="196">
        <v>0.8</v>
      </c>
      <c r="M391" s="196"/>
      <c r="N391" s="196"/>
      <c r="O391" s="196"/>
      <c r="P391" s="240">
        <f t="shared" ref="P391:P411" si="150">SUM(Q391:U391)</f>
        <v>1.36</v>
      </c>
      <c r="Q391" s="196">
        <v>0.08</v>
      </c>
      <c r="R391" s="196">
        <v>1.21</v>
      </c>
      <c r="S391" s="196">
        <v>7.0000000000000007E-2</v>
      </c>
      <c r="T391" s="196"/>
      <c r="U391" s="196"/>
      <c r="V391" s="238">
        <f t="shared" ref="V391:V411" si="151">D391*194.67+E391*173.04+F391*111.72+G391*111.72+H391*127.68+K391*86.255+L391*71.648+M391*84.489+N391*58.258+O391*53.065+Q391*72.658+R391*60.9+S391*74.716+T391*50.578+U391*46.62</f>
        <v>1213.3368100000002</v>
      </c>
      <c r="W391" s="227">
        <f t="shared" ref="W391:W411" si="152">SUM(X391:AB391)</f>
        <v>5.4260000000000002</v>
      </c>
      <c r="X391" s="237"/>
      <c r="Y391" s="237">
        <v>1.0740000000000001</v>
      </c>
      <c r="Z391" s="237">
        <v>3.4420000000000002</v>
      </c>
      <c r="AA391" s="237">
        <v>0.66</v>
      </c>
      <c r="AB391" s="237">
        <v>0.25</v>
      </c>
      <c r="AC391" s="227">
        <f>AD391+AJ391</f>
        <v>0.13</v>
      </c>
      <c r="AD391" s="239">
        <f t="shared" ref="AD391:AD411" si="153">SUM(AE391:AI391)</f>
        <v>0.05</v>
      </c>
      <c r="AE391" s="237"/>
      <c r="AF391" s="237">
        <v>0.05</v>
      </c>
      <c r="AG391" s="237"/>
      <c r="AH391" s="237"/>
      <c r="AI391" s="237"/>
      <c r="AJ391" s="239">
        <f t="shared" ref="AJ391:AJ411" si="154">SUM(AK391:AO391)</f>
        <v>0.08</v>
      </c>
      <c r="AK391" s="237"/>
      <c r="AL391" s="237">
        <v>0.08</v>
      </c>
      <c r="AM391" s="237"/>
      <c r="AN391" s="237"/>
      <c r="AO391" s="237"/>
      <c r="AP391" s="238">
        <v>867.7</v>
      </c>
      <c r="AQ391" s="334">
        <f t="shared" ref="AQ391:AQ411" si="155">W391/C391</f>
        <v>0.65373493975903607</v>
      </c>
      <c r="AR391" s="207">
        <f t="shared" ref="AR391:AR411" si="156">AC391/I391</f>
        <v>4.6594982078853049E-2</v>
      </c>
      <c r="AS391" s="196"/>
      <c r="AT391" s="196"/>
    </row>
    <row r="392" spans="1:46" ht="16.5" hidden="1">
      <c r="A392" s="308">
        <v>2</v>
      </c>
      <c r="B392" s="309" t="s">
        <v>422</v>
      </c>
      <c r="C392" s="310">
        <f t="shared" si="147"/>
        <v>11.09</v>
      </c>
      <c r="D392" s="311">
        <v>0</v>
      </c>
      <c r="E392" s="311">
        <v>0.2</v>
      </c>
      <c r="F392" s="311">
        <v>7.59</v>
      </c>
      <c r="G392" s="311">
        <v>1.3</v>
      </c>
      <c r="H392" s="311">
        <v>2</v>
      </c>
      <c r="I392" s="249">
        <f t="shared" si="148"/>
        <v>1.5</v>
      </c>
      <c r="J392" s="240">
        <f t="shared" si="149"/>
        <v>0.9</v>
      </c>
      <c r="K392" s="262">
        <v>0.9</v>
      </c>
      <c r="L392" s="196"/>
      <c r="M392" s="196"/>
      <c r="N392" s="196"/>
      <c r="O392" s="196"/>
      <c r="P392" s="240">
        <f t="shared" si="150"/>
        <v>0.60000000000000009</v>
      </c>
      <c r="Q392" s="196"/>
      <c r="R392" s="196">
        <v>0.2</v>
      </c>
      <c r="S392" s="196">
        <v>0.2</v>
      </c>
      <c r="T392" s="196">
        <v>0.2</v>
      </c>
      <c r="U392" s="196"/>
      <c r="V392" s="238">
        <f t="shared" si="151"/>
        <v>1398.0271000000002</v>
      </c>
      <c r="W392" s="227">
        <f t="shared" si="152"/>
        <v>6.0249999999999995</v>
      </c>
      <c r="X392" s="237"/>
      <c r="Y392" s="237"/>
      <c r="Z392" s="237">
        <v>3.8</v>
      </c>
      <c r="AA392" s="237">
        <v>0.92500000000000004</v>
      </c>
      <c r="AB392" s="237">
        <v>1.3</v>
      </c>
      <c r="AC392" s="227">
        <f t="shared" ref="AC392:AC413" si="157">AD392+AJ392</f>
        <v>0</v>
      </c>
      <c r="AD392" s="239">
        <f t="shared" si="153"/>
        <v>0</v>
      </c>
      <c r="AE392" s="237"/>
      <c r="AF392" s="237"/>
      <c r="AG392" s="237"/>
      <c r="AH392" s="237"/>
      <c r="AI392" s="237"/>
      <c r="AJ392" s="239">
        <f t="shared" si="154"/>
        <v>0</v>
      </c>
      <c r="AK392" s="237"/>
      <c r="AL392" s="237"/>
      <c r="AM392" s="237"/>
      <c r="AN392" s="237"/>
      <c r="AO392" s="237"/>
      <c r="AP392" s="238">
        <v>612.4</v>
      </c>
      <c r="AQ392" s="334">
        <f t="shared" si="155"/>
        <v>0.54328223624887284</v>
      </c>
      <c r="AR392" s="207">
        <f t="shared" si="156"/>
        <v>0</v>
      </c>
      <c r="AS392" s="196"/>
      <c r="AT392" s="196"/>
    </row>
    <row r="393" spans="1:46" ht="16.5" hidden="1">
      <c r="A393" s="308">
        <v>3</v>
      </c>
      <c r="B393" s="309" t="s">
        <v>423</v>
      </c>
      <c r="C393" s="310">
        <f t="shared" si="147"/>
        <v>7.45</v>
      </c>
      <c r="D393" s="311">
        <v>3</v>
      </c>
      <c r="E393" s="311">
        <v>3.3</v>
      </c>
      <c r="F393" s="311">
        <v>0.4</v>
      </c>
      <c r="G393" s="311">
        <v>0.5</v>
      </c>
      <c r="H393" s="311">
        <v>0.25</v>
      </c>
      <c r="I393" s="249">
        <f t="shared" si="148"/>
        <v>1.6</v>
      </c>
      <c r="J393" s="240">
        <f t="shared" si="149"/>
        <v>0.8</v>
      </c>
      <c r="K393" s="262"/>
      <c r="L393" s="196">
        <v>0.8</v>
      </c>
      <c r="M393" s="196"/>
      <c r="N393" s="196"/>
      <c r="O393" s="196"/>
      <c r="P393" s="240">
        <f t="shared" si="150"/>
        <v>0.8</v>
      </c>
      <c r="Q393" s="196"/>
      <c r="R393" s="196">
        <v>0.8</v>
      </c>
      <c r="S393" s="196"/>
      <c r="T393" s="196"/>
      <c r="U393" s="196"/>
      <c r="V393" s="238">
        <f t="shared" si="151"/>
        <v>1393.5483999999999</v>
      </c>
      <c r="W393" s="227">
        <f t="shared" si="152"/>
        <v>4.3500000000000005</v>
      </c>
      <c r="X393" s="237">
        <v>1.8</v>
      </c>
      <c r="Y393" s="237">
        <v>1.9</v>
      </c>
      <c r="Z393" s="237">
        <v>0.4</v>
      </c>
      <c r="AA393" s="237"/>
      <c r="AB393" s="237">
        <v>0.25</v>
      </c>
      <c r="AC393" s="227">
        <f t="shared" si="157"/>
        <v>0.4</v>
      </c>
      <c r="AD393" s="239">
        <f t="shared" si="153"/>
        <v>0.3</v>
      </c>
      <c r="AE393" s="237"/>
      <c r="AF393" s="237">
        <v>0.3</v>
      </c>
      <c r="AG393" s="237"/>
      <c r="AH393" s="237"/>
      <c r="AI393" s="237"/>
      <c r="AJ393" s="239">
        <f t="shared" si="154"/>
        <v>0.1</v>
      </c>
      <c r="AK393" s="237"/>
      <c r="AL393" s="237">
        <v>0.1</v>
      </c>
      <c r="AM393" s="237"/>
      <c r="AN393" s="237"/>
      <c r="AO393" s="237"/>
      <c r="AP393" s="238">
        <v>547</v>
      </c>
      <c r="AQ393" s="334">
        <f t="shared" si="155"/>
        <v>0.58389261744966447</v>
      </c>
      <c r="AR393" s="207">
        <f t="shared" si="156"/>
        <v>0.25</v>
      </c>
      <c r="AS393" s="196"/>
      <c r="AT393" s="196"/>
    </row>
    <row r="394" spans="1:46" ht="16.5" hidden="1">
      <c r="A394" s="308">
        <v>4</v>
      </c>
      <c r="B394" s="309" t="s">
        <v>424</v>
      </c>
      <c r="C394" s="310">
        <f t="shared" si="147"/>
        <v>10.029</v>
      </c>
      <c r="D394" s="311">
        <v>0</v>
      </c>
      <c r="E394" s="311">
        <v>0.61</v>
      </c>
      <c r="F394" s="311">
        <v>4.8490000000000002</v>
      </c>
      <c r="G394" s="311">
        <v>4.57</v>
      </c>
      <c r="H394" s="311">
        <v>0</v>
      </c>
      <c r="I394" s="249">
        <f t="shared" si="148"/>
        <v>0.22</v>
      </c>
      <c r="J394" s="240">
        <f t="shared" si="149"/>
        <v>0</v>
      </c>
      <c r="K394" s="262"/>
      <c r="L394" s="196"/>
      <c r="M394" s="196"/>
      <c r="N394" s="196"/>
      <c r="O394" s="196"/>
      <c r="P394" s="240">
        <f t="shared" si="150"/>
        <v>0.22</v>
      </c>
      <c r="Q394" s="196"/>
      <c r="R394" s="196">
        <v>0.22</v>
      </c>
      <c r="S394" s="196"/>
      <c r="T394" s="196"/>
      <c r="U394" s="196"/>
      <c r="V394" s="238">
        <f t="shared" si="151"/>
        <v>1171.24308</v>
      </c>
      <c r="W394" s="227">
        <f t="shared" si="152"/>
        <v>5.1099999999999994</v>
      </c>
      <c r="X394" s="237"/>
      <c r="Y394" s="237">
        <v>0.61</v>
      </c>
      <c r="Z394" s="237">
        <v>3</v>
      </c>
      <c r="AA394" s="237">
        <v>1.5</v>
      </c>
      <c r="AB394" s="237"/>
      <c r="AC394" s="227">
        <f t="shared" si="157"/>
        <v>0</v>
      </c>
      <c r="AD394" s="239">
        <f t="shared" si="153"/>
        <v>0</v>
      </c>
      <c r="AE394" s="237"/>
      <c r="AF394" s="237"/>
      <c r="AG394" s="237"/>
      <c r="AH394" s="237"/>
      <c r="AI394" s="237"/>
      <c r="AJ394" s="239">
        <f t="shared" si="154"/>
        <v>0</v>
      </c>
      <c r="AK394" s="237"/>
      <c r="AL394" s="237"/>
      <c r="AM394" s="237"/>
      <c r="AN394" s="237"/>
      <c r="AO394" s="237"/>
      <c r="AP394" s="238">
        <v>640</v>
      </c>
      <c r="AQ394" s="334">
        <f t="shared" si="155"/>
        <v>0.50952238508325853</v>
      </c>
      <c r="AR394" s="207">
        <f t="shared" si="156"/>
        <v>0</v>
      </c>
      <c r="AS394" s="196"/>
      <c r="AT394" s="196"/>
    </row>
    <row r="395" spans="1:46" ht="16.5" hidden="1">
      <c r="A395" s="308">
        <v>5</v>
      </c>
      <c r="B395" s="309" t="s">
        <v>425</v>
      </c>
      <c r="C395" s="310">
        <f t="shared" si="147"/>
        <v>1.5</v>
      </c>
      <c r="D395" s="311">
        <v>0</v>
      </c>
      <c r="E395" s="311">
        <v>0.5</v>
      </c>
      <c r="F395" s="311">
        <v>1</v>
      </c>
      <c r="G395" s="311">
        <v>0</v>
      </c>
      <c r="H395" s="311">
        <v>0</v>
      </c>
      <c r="I395" s="249">
        <f t="shared" si="148"/>
        <v>0.54</v>
      </c>
      <c r="J395" s="240">
        <f t="shared" si="149"/>
        <v>0.1</v>
      </c>
      <c r="K395" s="262"/>
      <c r="L395" s="196">
        <v>0.1</v>
      </c>
      <c r="M395" s="196"/>
      <c r="N395" s="196"/>
      <c r="O395" s="196"/>
      <c r="P395" s="240">
        <f t="shared" si="150"/>
        <v>0.44</v>
      </c>
      <c r="Q395" s="196"/>
      <c r="R395" s="196"/>
      <c r="S395" s="196"/>
      <c r="T395" s="196">
        <v>0.44</v>
      </c>
      <c r="U395" s="196"/>
      <c r="V395" s="238">
        <f t="shared" si="151"/>
        <v>227.65912000000003</v>
      </c>
      <c r="W395" s="227">
        <f t="shared" si="152"/>
        <v>1.3</v>
      </c>
      <c r="X395" s="237"/>
      <c r="Y395" s="237">
        <v>0.5</v>
      </c>
      <c r="Z395" s="237">
        <v>0.8</v>
      </c>
      <c r="AA395" s="237"/>
      <c r="AB395" s="237"/>
      <c r="AC395" s="227">
        <f t="shared" si="157"/>
        <v>0</v>
      </c>
      <c r="AD395" s="239">
        <f t="shared" si="153"/>
        <v>0</v>
      </c>
      <c r="AE395" s="237"/>
      <c r="AF395" s="237"/>
      <c r="AG395" s="237"/>
      <c r="AH395" s="237"/>
      <c r="AI395" s="237"/>
      <c r="AJ395" s="239">
        <f t="shared" si="154"/>
        <v>0</v>
      </c>
      <c r="AK395" s="237"/>
      <c r="AL395" s="237"/>
      <c r="AM395" s="237"/>
      <c r="AN395" s="237"/>
      <c r="AO395" s="237"/>
      <c r="AP395" s="238">
        <v>205</v>
      </c>
      <c r="AQ395" s="334">
        <f t="shared" si="155"/>
        <v>0.8666666666666667</v>
      </c>
      <c r="AR395" s="207">
        <f t="shared" si="156"/>
        <v>0</v>
      </c>
      <c r="AS395" s="196"/>
      <c r="AT395" s="196"/>
    </row>
    <row r="396" spans="1:46" ht="16.5" hidden="1">
      <c r="A396" s="308">
        <v>6</v>
      </c>
      <c r="B396" s="309" t="s">
        <v>426</v>
      </c>
      <c r="C396" s="310">
        <f t="shared" si="147"/>
        <v>12</v>
      </c>
      <c r="D396" s="311">
        <v>0</v>
      </c>
      <c r="E396" s="311">
        <v>0</v>
      </c>
      <c r="F396" s="311">
        <v>12</v>
      </c>
      <c r="G396" s="311">
        <v>0</v>
      </c>
      <c r="H396" s="311">
        <v>0</v>
      </c>
      <c r="I396" s="249">
        <f t="shared" si="148"/>
        <v>0</v>
      </c>
      <c r="J396" s="240">
        <f t="shared" si="149"/>
        <v>0</v>
      </c>
      <c r="K396" s="262"/>
      <c r="L396" s="196"/>
      <c r="M396" s="196"/>
      <c r="N396" s="196"/>
      <c r="O396" s="196"/>
      <c r="P396" s="240">
        <f t="shared" si="150"/>
        <v>0</v>
      </c>
      <c r="Q396" s="196"/>
      <c r="R396" s="196"/>
      <c r="S396" s="196"/>
      <c r="T396" s="196"/>
      <c r="U396" s="196"/>
      <c r="V396" s="238">
        <f t="shared" si="151"/>
        <v>1340.6399999999999</v>
      </c>
      <c r="W396" s="227">
        <f t="shared" si="152"/>
        <v>8.6300000000000008</v>
      </c>
      <c r="X396" s="237"/>
      <c r="Y396" s="237"/>
      <c r="Z396" s="237">
        <v>8.6300000000000008</v>
      </c>
      <c r="AA396" s="237"/>
      <c r="AB396" s="237"/>
      <c r="AC396" s="227">
        <f t="shared" si="157"/>
        <v>0</v>
      </c>
      <c r="AD396" s="239">
        <f t="shared" si="153"/>
        <v>0</v>
      </c>
      <c r="AE396" s="237"/>
      <c r="AF396" s="237"/>
      <c r="AG396" s="237"/>
      <c r="AH396" s="237"/>
      <c r="AI396" s="237"/>
      <c r="AJ396" s="239">
        <f t="shared" si="154"/>
        <v>0</v>
      </c>
      <c r="AK396" s="237"/>
      <c r="AL396" s="237"/>
      <c r="AM396" s="237"/>
      <c r="AN396" s="237"/>
      <c r="AO396" s="237"/>
      <c r="AP396" s="238">
        <v>963.5</v>
      </c>
      <c r="AQ396" s="334">
        <f t="shared" si="155"/>
        <v>0.71916666666666673</v>
      </c>
      <c r="AR396" s="207" t="e">
        <f t="shared" si="156"/>
        <v>#DIV/0!</v>
      </c>
      <c r="AS396" s="196"/>
      <c r="AT396" s="196"/>
    </row>
    <row r="397" spans="1:46" ht="16.5" hidden="1">
      <c r="A397" s="308">
        <v>7</v>
      </c>
      <c r="B397" s="309" t="s">
        <v>427</v>
      </c>
      <c r="C397" s="310">
        <f t="shared" si="147"/>
        <v>2.08</v>
      </c>
      <c r="D397" s="311">
        <v>0</v>
      </c>
      <c r="E397" s="311">
        <v>0</v>
      </c>
      <c r="F397" s="311">
        <v>1.08</v>
      </c>
      <c r="G397" s="311">
        <v>0.5</v>
      </c>
      <c r="H397" s="311">
        <v>0.5</v>
      </c>
      <c r="I397" s="249">
        <f t="shared" si="148"/>
        <v>0.5</v>
      </c>
      <c r="J397" s="240">
        <f t="shared" si="149"/>
        <v>0</v>
      </c>
      <c r="K397" s="262"/>
      <c r="L397" s="196"/>
      <c r="M397" s="196"/>
      <c r="N397" s="196"/>
      <c r="O397" s="196"/>
      <c r="P397" s="240">
        <f t="shared" si="150"/>
        <v>0.5</v>
      </c>
      <c r="Q397" s="196"/>
      <c r="R397" s="196">
        <v>0.5</v>
      </c>
      <c r="S397" s="196"/>
      <c r="T397" s="196"/>
      <c r="U397" s="196"/>
      <c r="V397" s="238">
        <f t="shared" si="151"/>
        <v>270.80760000000004</v>
      </c>
      <c r="W397" s="227">
        <f t="shared" si="152"/>
        <v>1.08</v>
      </c>
      <c r="X397" s="237"/>
      <c r="Y397" s="237"/>
      <c r="Z397" s="237">
        <v>1.08</v>
      </c>
      <c r="AA397" s="237"/>
      <c r="AB397" s="237"/>
      <c r="AC397" s="227">
        <f t="shared" si="157"/>
        <v>0.2</v>
      </c>
      <c r="AD397" s="239">
        <f t="shared" si="153"/>
        <v>0</v>
      </c>
      <c r="AE397" s="237"/>
      <c r="AF397" s="237"/>
      <c r="AG397" s="237"/>
      <c r="AH397" s="237"/>
      <c r="AI397" s="237"/>
      <c r="AJ397" s="239">
        <f t="shared" si="154"/>
        <v>0.2</v>
      </c>
      <c r="AK397" s="237"/>
      <c r="AL397" s="237">
        <v>0.2</v>
      </c>
      <c r="AM397" s="237"/>
      <c r="AN397" s="237"/>
      <c r="AO397" s="237"/>
      <c r="AP397" s="238">
        <v>129</v>
      </c>
      <c r="AQ397" s="334">
        <f t="shared" si="155"/>
        <v>0.51923076923076927</v>
      </c>
      <c r="AR397" s="207">
        <f t="shared" si="156"/>
        <v>0.4</v>
      </c>
      <c r="AS397" s="196"/>
      <c r="AT397" s="196"/>
    </row>
    <row r="398" spans="1:46" ht="16.5" hidden="1">
      <c r="A398" s="308">
        <v>8</v>
      </c>
      <c r="B398" s="309" t="s">
        <v>428</v>
      </c>
      <c r="C398" s="310">
        <f t="shared" si="147"/>
        <v>3</v>
      </c>
      <c r="D398" s="311">
        <v>0</v>
      </c>
      <c r="E398" s="311">
        <v>0.24</v>
      </c>
      <c r="F398" s="311">
        <v>2.76</v>
      </c>
      <c r="G398" s="311">
        <v>0</v>
      </c>
      <c r="H398" s="311">
        <v>0</v>
      </c>
      <c r="I398" s="249">
        <f t="shared" si="148"/>
        <v>0.6</v>
      </c>
      <c r="J398" s="240">
        <f t="shared" si="149"/>
        <v>0</v>
      </c>
      <c r="K398" s="262"/>
      <c r="L398" s="196"/>
      <c r="M398" s="196"/>
      <c r="N398" s="196"/>
      <c r="O398" s="196"/>
      <c r="P398" s="240">
        <f t="shared" si="150"/>
        <v>0.6</v>
      </c>
      <c r="Q398" s="196"/>
      <c r="R398" s="196">
        <v>0.6</v>
      </c>
      <c r="S398" s="196"/>
      <c r="T398" s="196"/>
      <c r="U398" s="196"/>
      <c r="V398" s="238">
        <f t="shared" si="151"/>
        <v>386.41680000000002</v>
      </c>
      <c r="W398" s="227">
        <f t="shared" si="152"/>
        <v>2.8</v>
      </c>
      <c r="X398" s="237"/>
      <c r="Y398" s="237">
        <v>0.24</v>
      </c>
      <c r="Z398" s="237">
        <v>2.56</v>
      </c>
      <c r="AA398" s="237"/>
      <c r="AB398" s="237"/>
      <c r="AC398" s="227">
        <f t="shared" si="157"/>
        <v>0.31</v>
      </c>
      <c r="AD398" s="239">
        <f t="shared" si="153"/>
        <v>0</v>
      </c>
      <c r="AE398" s="237"/>
      <c r="AF398" s="237"/>
      <c r="AG398" s="237"/>
      <c r="AH398" s="237"/>
      <c r="AI398" s="237"/>
      <c r="AJ398" s="239">
        <f t="shared" si="154"/>
        <v>0.31</v>
      </c>
      <c r="AK398" s="237"/>
      <c r="AL398" s="237">
        <v>0.31</v>
      </c>
      <c r="AM398" s="237"/>
      <c r="AN398" s="237"/>
      <c r="AO398" s="237"/>
      <c r="AP398" s="238">
        <v>362.8</v>
      </c>
      <c r="AQ398" s="334">
        <f t="shared" si="155"/>
        <v>0.93333333333333324</v>
      </c>
      <c r="AR398" s="207">
        <f t="shared" si="156"/>
        <v>0.51666666666666672</v>
      </c>
      <c r="AS398" s="196"/>
      <c r="AT398" s="196"/>
    </row>
    <row r="399" spans="1:46" ht="16.5" hidden="1">
      <c r="A399" s="308">
        <v>9</v>
      </c>
      <c r="B399" s="309" t="s">
        <v>429</v>
      </c>
      <c r="C399" s="310">
        <f t="shared" si="147"/>
        <v>0.78</v>
      </c>
      <c r="D399" s="311">
        <v>0</v>
      </c>
      <c r="E399" s="311">
        <v>0.26</v>
      </c>
      <c r="F399" s="311">
        <v>0.52</v>
      </c>
      <c r="G399" s="311">
        <v>0</v>
      </c>
      <c r="H399" s="311">
        <v>0</v>
      </c>
      <c r="I399" s="249">
        <f t="shared" si="148"/>
        <v>3.31</v>
      </c>
      <c r="J399" s="240">
        <f t="shared" si="149"/>
        <v>0.04</v>
      </c>
      <c r="K399" s="262">
        <v>0.04</v>
      </c>
      <c r="L399" s="196"/>
      <c r="M399" s="196"/>
      <c r="N399" s="196"/>
      <c r="O399" s="196"/>
      <c r="P399" s="240">
        <f t="shared" si="150"/>
        <v>3.27</v>
      </c>
      <c r="Q399" s="196"/>
      <c r="R399" s="196">
        <v>3.27</v>
      </c>
      <c r="S399" s="196"/>
      <c r="T399" s="196"/>
      <c r="U399" s="196"/>
      <c r="V399" s="238">
        <f t="shared" si="151"/>
        <v>305.678</v>
      </c>
      <c r="W399" s="227">
        <f t="shared" si="152"/>
        <v>0.91</v>
      </c>
      <c r="X399" s="237"/>
      <c r="Y399" s="237">
        <v>0.26</v>
      </c>
      <c r="Z399" s="237">
        <v>0.65</v>
      </c>
      <c r="AA399" s="237"/>
      <c r="AB399" s="237"/>
      <c r="AC399" s="227">
        <f t="shared" si="157"/>
        <v>0.104</v>
      </c>
      <c r="AD399" s="239">
        <f t="shared" si="153"/>
        <v>4.3999999999999997E-2</v>
      </c>
      <c r="AE399" s="237">
        <v>4.3999999999999997E-2</v>
      </c>
      <c r="AF399" s="237"/>
      <c r="AG399" s="237"/>
      <c r="AH399" s="237"/>
      <c r="AI399" s="237"/>
      <c r="AJ399" s="239">
        <f t="shared" si="154"/>
        <v>0.06</v>
      </c>
      <c r="AK399" s="237"/>
      <c r="AL399" s="237">
        <v>0.06</v>
      </c>
      <c r="AM399" s="237"/>
      <c r="AN399" s="237"/>
      <c r="AO399" s="237"/>
      <c r="AP399" s="238">
        <v>125</v>
      </c>
      <c r="AQ399" s="334">
        <f t="shared" si="155"/>
        <v>1.1666666666666667</v>
      </c>
      <c r="AR399" s="207">
        <f t="shared" si="156"/>
        <v>3.1419939577039271E-2</v>
      </c>
      <c r="AS399" s="196"/>
      <c r="AT399" s="196"/>
    </row>
    <row r="400" spans="1:46" ht="16.5" hidden="1">
      <c r="A400" s="308">
        <v>10</v>
      </c>
      <c r="B400" s="309" t="s">
        <v>430</v>
      </c>
      <c r="C400" s="310">
        <f t="shared" si="147"/>
        <v>13.55</v>
      </c>
      <c r="D400" s="311"/>
      <c r="E400" s="311">
        <v>7.33</v>
      </c>
      <c r="F400" s="311">
        <v>4.92</v>
      </c>
      <c r="G400" s="311">
        <v>1.3</v>
      </c>
      <c r="H400" s="311">
        <v>0</v>
      </c>
      <c r="I400" s="249">
        <f t="shared" si="148"/>
        <v>3.68</v>
      </c>
      <c r="J400" s="240">
        <f t="shared" si="149"/>
        <v>1</v>
      </c>
      <c r="K400" s="262">
        <v>1</v>
      </c>
      <c r="L400" s="196"/>
      <c r="M400" s="196"/>
      <c r="N400" s="196"/>
      <c r="O400" s="196"/>
      <c r="P400" s="240">
        <f t="shared" si="150"/>
        <v>2.68</v>
      </c>
      <c r="Q400" s="196"/>
      <c r="R400" s="196">
        <v>2.68</v>
      </c>
      <c r="S400" s="196"/>
      <c r="T400" s="196"/>
      <c r="U400" s="196"/>
      <c r="V400" s="238">
        <f t="shared" si="151"/>
        <v>2212.7485999999999</v>
      </c>
      <c r="W400" s="227">
        <f t="shared" si="152"/>
        <v>10.559999999999999</v>
      </c>
      <c r="X400" s="237"/>
      <c r="Y400" s="237">
        <v>4.5599999999999996</v>
      </c>
      <c r="Z400" s="237">
        <v>5.77</v>
      </c>
      <c r="AA400" s="237">
        <v>0.23</v>
      </c>
      <c r="AB400" s="237"/>
      <c r="AC400" s="227">
        <f t="shared" si="157"/>
        <v>0</v>
      </c>
      <c r="AD400" s="239">
        <f t="shared" si="153"/>
        <v>0</v>
      </c>
      <c r="AE400" s="237"/>
      <c r="AF400" s="237"/>
      <c r="AG400" s="237"/>
      <c r="AH400" s="237"/>
      <c r="AI400" s="237"/>
      <c r="AJ400" s="239">
        <f t="shared" si="154"/>
        <v>0</v>
      </c>
      <c r="AK400" s="237"/>
      <c r="AL400" s="237"/>
      <c r="AM400" s="237"/>
      <c r="AN400" s="237"/>
      <c r="AO400" s="237"/>
      <c r="AP400" s="238">
        <v>1656</v>
      </c>
      <c r="AQ400" s="334">
        <f t="shared" si="155"/>
        <v>0.77933579335793346</v>
      </c>
      <c r="AR400" s="207">
        <f t="shared" si="156"/>
        <v>0</v>
      </c>
      <c r="AS400" s="196"/>
      <c r="AT400" s="196"/>
    </row>
    <row r="401" spans="1:46" ht="16.5" hidden="1">
      <c r="A401" s="308">
        <v>11</v>
      </c>
      <c r="B401" s="309" t="s">
        <v>431</v>
      </c>
      <c r="C401" s="310">
        <f t="shared" si="147"/>
        <v>4.6189999999999998</v>
      </c>
      <c r="D401" s="311">
        <v>0.746</v>
      </c>
      <c r="E401" s="311">
        <v>1.0169999999999999</v>
      </c>
      <c r="F401" s="311">
        <v>2.8559999999999999</v>
      </c>
      <c r="G401" s="311">
        <v>0</v>
      </c>
      <c r="H401" s="311">
        <v>0</v>
      </c>
      <c r="I401" s="249">
        <f t="shared" si="148"/>
        <v>2.5700000000000003</v>
      </c>
      <c r="J401" s="240">
        <f t="shared" si="149"/>
        <v>0.33</v>
      </c>
      <c r="K401" s="262">
        <v>0.33</v>
      </c>
      <c r="L401" s="196"/>
      <c r="M401" s="196"/>
      <c r="N401" s="196"/>
      <c r="O401" s="196"/>
      <c r="P401" s="240">
        <f t="shared" si="150"/>
        <v>2.2400000000000002</v>
      </c>
      <c r="Q401" s="196">
        <v>0.22</v>
      </c>
      <c r="R401" s="196">
        <v>2.02</v>
      </c>
      <c r="S401" s="196"/>
      <c r="T401" s="196"/>
      <c r="U401" s="196"/>
      <c r="V401" s="238">
        <f t="shared" si="151"/>
        <v>807.74473000000012</v>
      </c>
      <c r="W401" s="227">
        <f t="shared" si="152"/>
        <v>5.0250000000000004</v>
      </c>
      <c r="X401" s="237">
        <v>0.71499999999999997</v>
      </c>
      <c r="Y401" s="237">
        <v>1.71</v>
      </c>
      <c r="Z401" s="237">
        <v>2.6</v>
      </c>
      <c r="AA401" s="237"/>
      <c r="AB401" s="237"/>
      <c r="AC401" s="227">
        <f t="shared" si="157"/>
        <v>0</v>
      </c>
      <c r="AD401" s="239">
        <f t="shared" si="153"/>
        <v>0</v>
      </c>
      <c r="AE401" s="237"/>
      <c r="AF401" s="237"/>
      <c r="AG401" s="237"/>
      <c r="AH401" s="237"/>
      <c r="AI401" s="237"/>
      <c r="AJ401" s="239">
        <f t="shared" si="154"/>
        <v>0</v>
      </c>
      <c r="AK401" s="237"/>
      <c r="AL401" s="237"/>
      <c r="AM401" s="237"/>
      <c r="AN401" s="237"/>
      <c r="AO401" s="237"/>
      <c r="AP401" s="238">
        <v>680.1</v>
      </c>
      <c r="AQ401" s="334">
        <f t="shared" si="155"/>
        <v>1.0878978133795194</v>
      </c>
      <c r="AR401" s="207">
        <f t="shared" si="156"/>
        <v>0</v>
      </c>
      <c r="AS401" s="196"/>
      <c r="AT401" s="196"/>
    </row>
    <row r="402" spans="1:46" ht="16.5" hidden="1">
      <c r="A402" s="308">
        <v>12</v>
      </c>
      <c r="B402" s="309" t="s">
        <v>432</v>
      </c>
      <c r="C402" s="310">
        <f t="shared" si="147"/>
        <v>4</v>
      </c>
      <c r="D402" s="311">
        <v>0</v>
      </c>
      <c r="E402" s="311">
        <v>1</v>
      </c>
      <c r="F402" s="311">
        <v>2.6</v>
      </c>
      <c r="G402" s="311">
        <v>0.4</v>
      </c>
      <c r="H402" s="311">
        <v>0</v>
      </c>
      <c r="I402" s="249">
        <f t="shared" si="148"/>
        <v>0</v>
      </c>
      <c r="J402" s="240">
        <f t="shared" si="149"/>
        <v>0</v>
      </c>
      <c r="K402" s="262"/>
      <c r="L402" s="196"/>
      <c r="M402" s="196"/>
      <c r="N402" s="196"/>
      <c r="O402" s="196"/>
      <c r="P402" s="240">
        <f t="shared" si="150"/>
        <v>0</v>
      </c>
      <c r="Q402" s="196"/>
      <c r="R402" s="196"/>
      <c r="S402" s="196"/>
      <c r="T402" s="196"/>
      <c r="U402" s="196"/>
      <c r="V402" s="238">
        <f t="shared" si="151"/>
        <v>508.19999999999993</v>
      </c>
      <c r="W402" s="227">
        <f t="shared" si="152"/>
        <v>3.85</v>
      </c>
      <c r="X402" s="237"/>
      <c r="Y402" s="237">
        <v>0.85</v>
      </c>
      <c r="Z402" s="237">
        <v>2.6</v>
      </c>
      <c r="AA402" s="237">
        <v>0.4</v>
      </c>
      <c r="AB402" s="237"/>
      <c r="AC402" s="227">
        <f t="shared" si="157"/>
        <v>0</v>
      </c>
      <c r="AD402" s="239">
        <f t="shared" si="153"/>
        <v>0</v>
      </c>
      <c r="AE402" s="237"/>
      <c r="AF402" s="237"/>
      <c r="AG402" s="237"/>
      <c r="AH402" s="237"/>
      <c r="AI402" s="237"/>
      <c r="AJ402" s="239">
        <f t="shared" si="154"/>
        <v>0</v>
      </c>
      <c r="AK402" s="237"/>
      <c r="AL402" s="237"/>
      <c r="AM402" s="237"/>
      <c r="AN402" s="237"/>
      <c r="AO402" s="237"/>
      <c r="AP402" s="238">
        <v>521.79999999999995</v>
      </c>
      <c r="AQ402" s="334">
        <f t="shared" si="155"/>
        <v>0.96250000000000002</v>
      </c>
      <c r="AR402" s="207" t="e">
        <f t="shared" si="156"/>
        <v>#DIV/0!</v>
      </c>
      <c r="AS402" s="196"/>
      <c r="AT402" s="196"/>
    </row>
    <row r="403" spans="1:46" ht="16.5" hidden="1">
      <c r="A403" s="308">
        <v>13</v>
      </c>
      <c r="B403" s="309" t="s">
        <v>433</v>
      </c>
      <c r="C403" s="310">
        <f t="shared" si="147"/>
        <v>4.5190000000000001</v>
      </c>
      <c r="D403" s="311">
        <v>0</v>
      </c>
      <c r="E403" s="311">
        <v>2.649</v>
      </c>
      <c r="F403" s="311">
        <v>0.72</v>
      </c>
      <c r="G403" s="311">
        <v>1.1499999999999999</v>
      </c>
      <c r="H403" s="311">
        <v>0</v>
      </c>
      <c r="I403" s="249">
        <f t="shared" si="148"/>
        <v>0</v>
      </c>
      <c r="J403" s="240">
        <f t="shared" si="149"/>
        <v>0</v>
      </c>
      <c r="K403" s="262"/>
      <c r="L403" s="196"/>
      <c r="M403" s="196"/>
      <c r="N403" s="196"/>
      <c r="O403" s="196"/>
      <c r="P403" s="240">
        <f t="shared" si="150"/>
        <v>0</v>
      </c>
      <c r="Q403" s="196"/>
      <c r="R403" s="196"/>
      <c r="S403" s="196"/>
      <c r="T403" s="196"/>
      <c r="U403" s="196"/>
      <c r="V403" s="238">
        <f t="shared" si="151"/>
        <v>667.29935999999987</v>
      </c>
      <c r="W403" s="227">
        <f t="shared" si="152"/>
        <v>2.839</v>
      </c>
      <c r="X403" s="237"/>
      <c r="Y403" s="237">
        <v>1.8620000000000001</v>
      </c>
      <c r="Z403" s="237">
        <v>0.28699999999999998</v>
      </c>
      <c r="AA403" s="237">
        <v>0.69</v>
      </c>
      <c r="AB403" s="237"/>
      <c r="AC403" s="227">
        <f t="shared" si="157"/>
        <v>0</v>
      </c>
      <c r="AD403" s="239">
        <f t="shared" si="153"/>
        <v>0</v>
      </c>
      <c r="AE403" s="237"/>
      <c r="AF403" s="237"/>
      <c r="AG403" s="237"/>
      <c r="AH403" s="237"/>
      <c r="AI403" s="237"/>
      <c r="AJ403" s="239">
        <f t="shared" si="154"/>
        <v>0</v>
      </c>
      <c r="AK403" s="237"/>
      <c r="AL403" s="237"/>
      <c r="AM403" s="237"/>
      <c r="AN403" s="237"/>
      <c r="AO403" s="237"/>
      <c r="AP403" s="238">
        <v>464</v>
      </c>
      <c r="AQ403" s="334">
        <f t="shared" si="155"/>
        <v>0.62823633547244961</v>
      </c>
      <c r="AR403" s="207" t="e">
        <f t="shared" si="156"/>
        <v>#DIV/0!</v>
      </c>
      <c r="AS403" s="196"/>
      <c r="AT403" s="196"/>
    </row>
    <row r="404" spans="1:46" ht="16.5" hidden="1">
      <c r="A404" s="308">
        <v>14</v>
      </c>
      <c r="B404" s="309" t="s">
        <v>434</v>
      </c>
      <c r="C404" s="310">
        <f t="shared" si="147"/>
        <v>6.51</v>
      </c>
      <c r="D404" s="311">
        <v>0</v>
      </c>
      <c r="E404" s="311">
        <v>0</v>
      </c>
      <c r="F404" s="311">
        <v>6.31</v>
      </c>
      <c r="G404" s="311">
        <v>0.2</v>
      </c>
      <c r="H404" s="311">
        <v>0</v>
      </c>
      <c r="I404" s="249">
        <f t="shared" si="148"/>
        <v>0</v>
      </c>
      <c r="J404" s="240">
        <f t="shared" si="149"/>
        <v>0</v>
      </c>
      <c r="K404" s="262"/>
      <c r="L404" s="196"/>
      <c r="M404" s="196"/>
      <c r="N404" s="196"/>
      <c r="O404" s="196"/>
      <c r="P404" s="240">
        <f t="shared" si="150"/>
        <v>0</v>
      </c>
      <c r="Q404" s="196"/>
      <c r="R404" s="196"/>
      <c r="S404" s="196"/>
      <c r="T404" s="196"/>
      <c r="U404" s="196"/>
      <c r="V404" s="238">
        <f t="shared" si="151"/>
        <v>727.29719999999998</v>
      </c>
      <c r="W404" s="227">
        <f t="shared" si="152"/>
        <v>5.5</v>
      </c>
      <c r="X404" s="237"/>
      <c r="Y404" s="237"/>
      <c r="Z404" s="237">
        <v>5.5</v>
      </c>
      <c r="AA404" s="237"/>
      <c r="AB404" s="237"/>
      <c r="AC404" s="227">
        <f t="shared" si="157"/>
        <v>0</v>
      </c>
      <c r="AD404" s="239">
        <f t="shared" si="153"/>
        <v>0</v>
      </c>
      <c r="AE404" s="237"/>
      <c r="AF404" s="237"/>
      <c r="AG404" s="237"/>
      <c r="AH404" s="237"/>
      <c r="AI404" s="237"/>
      <c r="AJ404" s="239">
        <f t="shared" si="154"/>
        <v>0</v>
      </c>
      <c r="AK404" s="237"/>
      <c r="AL404" s="237"/>
      <c r="AM404" s="237"/>
      <c r="AN404" s="237"/>
      <c r="AO404" s="237"/>
      <c r="AP404" s="238">
        <v>988.8</v>
      </c>
      <c r="AQ404" s="334">
        <f t="shared" si="155"/>
        <v>0.84485407066052232</v>
      </c>
      <c r="AR404" s="207" t="e">
        <f t="shared" si="156"/>
        <v>#DIV/0!</v>
      </c>
      <c r="AS404" s="196"/>
      <c r="AT404" s="196"/>
    </row>
    <row r="405" spans="1:46" ht="16.5" hidden="1">
      <c r="A405" s="308">
        <v>15</v>
      </c>
      <c r="B405" s="309" t="s">
        <v>435</v>
      </c>
      <c r="C405" s="310">
        <f t="shared" si="147"/>
        <v>1.3720000000000001</v>
      </c>
      <c r="D405" s="311">
        <v>0</v>
      </c>
      <c r="E405" s="311">
        <v>1.3220000000000001</v>
      </c>
      <c r="F405" s="311">
        <v>0.05</v>
      </c>
      <c r="G405" s="311">
        <v>0</v>
      </c>
      <c r="H405" s="311">
        <v>0</v>
      </c>
      <c r="I405" s="249">
        <f t="shared" si="148"/>
        <v>1.1080000000000001</v>
      </c>
      <c r="J405" s="240">
        <f t="shared" si="149"/>
        <v>0.29799999999999999</v>
      </c>
      <c r="K405" s="262">
        <v>0.04</v>
      </c>
      <c r="L405" s="196">
        <v>0.25800000000000001</v>
      </c>
      <c r="M405" s="196"/>
      <c r="N405" s="196"/>
      <c r="O405" s="196"/>
      <c r="P405" s="240">
        <f t="shared" si="150"/>
        <v>0.81</v>
      </c>
      <c r="Q405" s="196">
        <v>0.03</v>
      </c>
      <c r="R405" s="196">
        <v>0.78</v>
      </c>
      <c r="S405" s="196"/>
      <c r="T405" s="196"/>
      <c r="U405" s="196"/>
      <c r="V405" s="238">
        <f t="shared" si="151"/>
        <v>305.96200399999998</v>
      </c>
      <c r="W405" s="227">
        <f t="shared" si="152"/>
        <v>1.18</v>
      </c>
      <c r="X405" s="237"/>
      <c r="Y405" s="237">
        <v>1.1299999999999999</v>
      </c>
      <c r="Z405" s="237">
        <v>0.05</v>
      </c>
      <c r="AA405" s="237"/>
      <c r="AB405" s="237"/>
      <c r="AC405" s="227">
        <f t="shared" si="157"/>
        <v>0.79400000000000004</v>
      </c>
      <c r="AD405" s="239">
        <f t="shared" si="153"/>
        <v>0.17400000000000002</v>
      </c>
      <c r="AE405" s="237">
        <v>4.2000000000000003E-2</v>
      </c>
      <c r="AF405" s="237">
        <v>0.13200000000000001</v>
      </c>
      <c r="AG405" s="237"/>
      <c r="AH405" s="237"/>
      <c r="AI405" s="237"/>
      <c r="AJ405" s="239">
        <f t="shared" si="154"/>
        <v>0.62</v>
      </c>
      <c r="AK405" s="237">
        <v>3.0000000000000001E-3</v>
      </c>
      <c r="AL405" s="237">
        <v>0.61699999999999999</v>
      </c>
      <c r="AM405" s="237"/>
      <c r="AN405" s="237"/>
      <c r="AO405" s="237"/>
      <c r="AP405" s="238">
        <v>274.89999999999998</v>
      </c>
      <c r="AQ405" s="334">
        <f t="shared" si="155"/>
        <v>0.86005830903790081</v>
      </c>
      <c r="AR405" s="207">
        <f t="shared" si="156"/>
        <v>0.71660649819494582</v>
      </c>
      <c r="AS405" s="196"/>
      <c r="AT405" s="196"/>
    </row>
    <row r="406" spans="1:46" ht="16.5" hidden="1">
      <c r="A406" s="308">
        <v>16</v>
      </c>
      <c r="B406" s="309" t="s">
        <v>436</v>
      </c>
      <c r="C406" s="310">
        <f t="shared" si="147"/>
        <v>4</v>
      </c>
      <c r="D406" s="311">
        <v>0</v>
      </c>
      <c r="E406" s="311">
        <v>3</v>
      </c>
      <c r="F406" s="311">
        <v>1</v>
      </c>
      <c r="G406" s="311">
        <v>0</v>
      </c>
      <c r="H406" s="311">
        <v>0</v>
      </c>
      <c r="I406" s="249">
        <f t="shared" si="148"/>
        <v>1</v>
      </c>
      <c r="J406" s="240">
        <f t="shared" si="149"/>
        <v>1</v>
      </c>
      <c r="K406" s="262"/>
      <c r="L406" s="196">
        <v>1</v>
      </c>
      <c r="M406" s="196"/>
      <c r="N406" s="196"/>
      <c r="O406" s="196"/>
      <c r="P406" s="240">
        <f t="shared" si="150"/>
        <v>0</v>
      </c>
      <c r="Q406" s="196"/>
      <c r="R406" s="196"/>
      <c r="S406" s="196"/>
      <c r="T406" s="196"/>
      <c r="U406" s="196"/>
      <c r="V406" s="238">
        <f t="shared" si="151"/>
        <v>702.48800000000006</v>
      </c>
      <c r="W406" s="227">
        <f t="shared" si="152"/>
        <v>4</v>
      </c>
      <c r="X406" s="237"/>
      <c r="Y406" s="237"/>
      <c r="Z406" s="237">
        <v>3</v>
      </c>
      <c r="AA406" s="237">
        <v>1</v>
      </c>
      <c r="AB406" s="237"/>
      <c r="AC406" s="227">
        <f t="shared" si="157"/>
        <v>0</v>
      </c>
      <c r="AD406" s="239">
        <f t="shared" si="153"/>
        <v>0</v>
      </c>
      <c r="AE406" s="237"/>
      <c r="AF406" s="237"/>
      <c r="AG406" s="237"/>
      <c r="AH406" s="237"/>
      <c r="AI406" s="237"/>
      <c r="AJ406" s="239">
        <f t="shared" si="154"/>
        <v>0</v>
      </c>
      <c r="AK406" s="237"/>
      <c r="AL406" s="237"/>
      <c r="AM406" s="237"/>
      <c r="AN406" s="237"/>
      <c r="AO406" s="237"/>
      <c r="AP406" s="238">
        <v>465.5</v>
      </c>
      <c r="AQ406" s="334">
        <f t="shared" si="155"/>
        <v>1</v>
      </c>
      <c r="AR406" s="207">
        <f t="shared" si="156"/>
        <v>0</v>
      </c>
      <c r="AS406" s="196"/>
      <c r="AT406" s="196"/>
    </row>
    <row r="407" spans="1:46" ht="16.5" hidden="1">
      <c r="A407" s="308">
        <v>17</v>
      </c>
      <c r="B407" s="309" t="s">
        <v>437</v>
      </c>
      <c r="C407" s="310">
        <f t="shared" si="147"/>
        <v>4.9239999999999995</v>
      </c>
      <c r="D407" s="311"/>
      <c r="E407" s="311">
        <v>0.84</v>
      </c>
      <c r="F407" s="311">
        <v>3.2839999999999998</v>
      </c>
      <c r="G407" s="311">
        <v>0.8</v>
      </c>
      <c r="H407" s="311">
        <v>0</v>
      </c>
      <c r="I407" s="249">
        <f t="shared" si="148"/>
        <v>2</v>
      </c>
      <c r="J407" s="240">
        <f t="shared" si="149"/>
        <v>0</v>
      </c>
      <c r="K407" s="262"/>
      <c r="L407" s="196"/>
      <c r="M407" s="196"/>
      <c r="N407" s="196"/>
      <c r="O407" s="196"/>
      <c r="P407" s="240">
        <f t="shared" si="150"/>
        <v>2</v>
      </c>
      <c r="Q407" s="196"/>
      <c r="R407" s="196">
        <v>2</v>
      </c>
      <c r="S407" s="196"/>
      <c r="T407" s="196"/>
      <c r="U407" s="196"/>
      <c r="V407" s="238">
        <f t="shared" si="151"/>
        <v>723.41807999999992</v>
      </c>
      <c r="W407" s="227">
        <f t="shared" si="152"/>
        <v>3.4749999999999996</v>
      </c>
      <c r="X407" s="237"/>
      <c r="Y407" s="237">
        <v>0.3</v>
      </c>
      <c r="Z407" s="237">
        <v>2.2999999999999998</v>
      </c>
      <c r="AA407" s="237">
        <v>0.875</v>
      </c>
      <c r="AB407" s="237"/>
      <c r="AC407" s="227">
        <f t="shared" si="157"/>
        <v>0</v>
      </c>
      <c r="AD407" s="239">
        <f t="shared" si="153"/>
        <v>0</v>
      </c>
      <c r="AE407" s="237"/>
      <c r="AF407" s="237"/>
      <c r="AG407" s="237"/>
      <c r="AH407" s="237"/>
      <c r="AI407" s="237"/>
      <c r="AJ407" s="239">
        <f t="shared" si="154"/>
        <v>0</v>
      </c>
      <c r="AK407" s="237"/>
      <c r="AL407" s="237"/>
      <c r="AM407" s="237"/>
      <c r="AN407" s="237"/>
      <c r="AO407" s="237"/>
      <c r="AP407" s="238">
        <v>540</v>
      </c>
      <c r="AQ407" s="334">
        <f t="shared" si="155"/>
        <v>0.70572705117790413</v>
      </c>
      <c r="AR407" s="207">
        <f t="shared" si="156"/>
        <v>0</v>
      </c>
      <c r="AS407" s="196"/>
      <c r="AT407" s="196"/>
    </row>
    <row r="408" spans="1:46" ht="16.5" hidden="1">
      <c r="A408" s="308">
        <v>18</v>
      </c>
      <c r="B408" s="309" t="s">
        <v>438</v>
      </c>
      <c r="C408" s="310">
        <f t="shared" si="147"/>
        <v>3.08</v>
      </c>
      <c r="D408" s="311">
        <v>0</v>
      </c>
      <c r="E408" s="311">
        <v>0.6</v>
      </c>
      <c r="F408" s="311">
        <v>2.13</v>
      </c>
      <c r="G408" s="311">
        <v>0.35</v>
      </c>
      <c r="H408" s="311">
        <v>0</v>
      </c>
      <c r="I408" s="249">
        <f t="shared" si="148"/>
        <v>0.4</v>
      </c>
      <c r="J408" s="240">
        <f t="shared" si="149"/>
        <v>0</v>
      </c>
      <c r="K408" s="262"/>
      <c r="L408" s="196"/>
      <c r="M408" s="196"/>
      <c r="N408" s="196"/>
      <c r="O408" s="196"/>
      <c r="P408" s="240">
        <f t="shared" si="150"/>
        <v>0.4</v>
      </c>
      <c r="Q408" s="196"/>
      <c r="R408" s="196">
        <v>0.4</v>
      </c>
      <c r="S408" s="196"/>
      <c r="T408" s="196"/>
      <c r="U408" s="196"/>
      <c r="V408" s="238">
        <f t="shared" si="151"/>
        <v>405.24959999999999</v>
      </c>
      <c r="W408" s="227">
        <f t="shared" si="152"/>
        <v>2.577</v>
      </c>
      <c r="X408" s="237"/>
      <c r="Y408" s="237">
        <v>0.36699999999999999</v>
      </c>
      <c r="Z408" s="237">
        <v>1.8759999999999999</v>
      </c>
      <c r="AA408" s="237">
        <v>0.33400000000000002</v>
      </c>
      <c r="AB408" s="237"/>
      <c r="AC408" s="227">
        <f t="shared" si="157"/>
        <v>0</v>
      </c>
      <c r="AD408" s="239">
        <f t="shared" si="153"/>
        <v>0</v>
      </c>
      <c r="AE408" s="237"/>
      <c r="AF408" s="237"/>
      <c r="AG408" s="237"/>
      <c r="AH408" s="237"/>
      <c r="AI408" s="237"/>
      <c r="AJ408" s="239">
        <f t="shared" si="154"/>
        <v>0</v>
      </c>
      <c r="AK408" s="237"/>
      <c r="AL408" s="237"/>
      <c r="AM408" s="237"/>
      <c r="AN408" s="237"/>
      <c r="AO408" s="237"/>
      <c r="AP408" s="238">
        <v>362.2</v>
      </c>
      <c r="AQ408" s="334">
        <f t="shared" si="155"/>
        <v>0.8366883116883117</v>
      </c>
      <c r="AR408" s="207">
        <f t="shared" si="156"/>
        <v>0</v>
      </c>
      <c r="AS408" s="196"/>
      <c r="AT408" s="196"/>
    </row>
    <row r="409" spans="1:46" ht="16.5" hidden="1">
      <c r="A409" s="308">
        <v>19</v>
      </c>
      <c r="B409" s="309" t="s">
        <v>439</v>
      </c>
      <c r="C409" s="310">
        <f t="shared" si="147"/>
        <v>5.6800000000000006</v>
      </c>
      <c r="D409" s="311">
        <v>0</v>
      </c>
      <c r="E409" s="311">
        <v>0.65</v>
      </c>
      <c r="F409" s="311">
        <v>4.4800000000000004</v>
      </c>
      <c r="G409" s="311">
        <v>0.2</v>
      </c>
      <c r="H409" s="311">
        <v>0.35</v>
      </c>
      <c r="I409" s="249">
        <f t="shared" si="148"/>
        <v>0</v>
      </c>
      <c r="J409" s="240">
        <f t="shared" si="149"/>
        <v>0</v>
      </c>
      <c r="K409" s="262"/>
      <c r="L409" s="196"/>
      <c r="M409" s="196"/>
      <c r="N409" s="196"/>
      <c r="O409" s="196"/>
      <c r="P409" s="240">
        <f t="shared" si="150"/>
        <v>0</v>
      </c>
      <c r="Q409" s="196"/>
      <c r="R409" s="196"/>
      <c r="S409" s="196"/>
      <c r="T409" s="196"/>
      <c r="U409" s="196"/>
      <c r="V409" s="238">
        <f t="shared" si="151"/>
        <v>680.01360000000011</v>
      </c>
      <c r="W409" s="227">
        <f t="shared" si="152"/>
        <v>5.35</v>
      </c>
      <c r="X409" s="237"/>
      <c r="Y409" s="237">
        <v>0.35</v>
      </c>
      <c r="Z409" s="237">
        <v>4.45</v>
      </c>
      <c r="AA409" s="237">
        <v>0.2</v>
      </c>
      <c r="AB409" s="237">
        <v>0.35</v>
      </c>
      <c r="AC409" s="227">
        <f t="shared" si="157"/>
        <v>0</v>
      </c>
      <c r="AD409" s="239">
        <f t="shared" si="153"/>
        <v>0</v>
      </c>
      <c r="AE409" s="237"/>
      <c r="AF409" s="237"/>
      <c r="AG409" s="237"/>
      <c r="AH409" s="237"/>
      <c r="AI409" s="237"/>
      <c r="AJ409" s="239">
        <f t="shared" si="154"/>
        <v>0</v>
      </c>
      <c r="AK409" s="237"/>
      <c r="AL409" s="237"/>
      <c r="AM409" s="237"/>
      <c r="AN409" s="237"/>
      <c r="AO409" s="237"/>
      <c r="AP409" s="238">
        <v>678</v>
      </c>
      <c r="AQ409" s="334">
        <f t="shared" si="155"/>
        <v>0.94190140845070403</v>
      </c>
      <c r="AR409" s="207" t="e">
        <f t="shared" si="156"/>
        <v>#DIV/0!</v>
      </c>
      <c r="AS409" s="196"/>
      <c r="AT409" s="196"/>
    </row>
    <row r="410" spans="1:46" ht="16.5" hidden="1">
      <c r="A410" s="308">
        <v>20</v>
      </c>
      <c r="B410" s="309" t="s">
        <v>440</v>
      </c>
      <c r="C410" s="310">
        <f t="shared" si="147"/>
        <v>2.0999999999999996</v>
      </c>
      <c r="D410" s="311">
        <v>0</v>
      </c>
      <c r="E410" s="311">
        <v>0.37</v>
      </c>
      <c r="F410" s="311">
        <v>1.26</v>
      </c>
      <c r="G410" s="311">
        <v>0.47</v>
      </c>
      <c r="H410" s="311">
        <v>0</v>
      </c>
      <c r="I410" s="249">
        <f t="shared" si="148"/>
        <v>0</v>
      </c>
      <c r="J410" s="240">
        <f t="shared" si="149"/>
        <v>0</v>
      </c>
      <c r="K410" s="262"/>
      <c r="L410" s="196"/>
      <c r="M410" s="196"/>
      <c r="N410" s="196"/>
      <c r="O410" s="196"/>
      <c r="P410" s="240">
        <f t="shared" si="150"/>
        <v>0</v>
      </c>
      <c r="Q410" s="196"/>
      <c r="R410" s="196"/>
      <c r="S410" s="196"/>
      <c r="T410" s="196"/>
      <c r="U410" s="196"/>
      <c r="V410" s="238">
        <f t="shared" si="151"/>
        <v>257.30039999999997</v>
      </c>
      <c r="W410" s="227">
        <f t="shared" si="152"/>
        <v>2.0999999999999996</v>
      </c>
      <c r="X410" s="237"/>
      <c r="Y410" s="237">
        <v>0.37</v>
      </c>
      <c r="Z410" s="237">
        <v>1.26</v>
      </c>
      <c r="AA410" s="237">
        <v>0.47</v>
      </c>
      <c r="AB410" s="237"/>
      <c r="AC410" s="227">
        <f t="shared" si="157"/>
        <v>0</v>
      </c>
      <c r="AD410" s="239">
        <f t="shared" si="153"/>
        <v>0</v>
      </c>
      <c r="AE410" s="237"/>
      <c r="AF410" s="237"/>
      <c r="AG410" s="237"/>
      <c r="AH410" s="237"/>
      <c r="AI410" s="237"/>
      <c r="AJ410" s="239">
        <f t="shared" si="154"/>
        <v>0</v>
      </c>
      <c r="AK410" s="237"/>
      <c r="AL410" s="237"/>
      <c r="AM410" s="237"/>
      <c r="AN410" s="237"/>
      <c r="AO410" s="237"/>
      <c r="AP410" s="238">
        <v>257</v>
      </c>
      <c r="AQ410" s="334">
        <f t="shared" si="155"/>
        <v>1</v>
      </c>
      <c r="AR410" s="207" t="e">
        <f t="shared" si="156"/>
        <v>#DIV/0!</v>
      </c>
      <c r="AS410" s="196"/>
      <c r="AT410" s="196"/>
    </row>
    <row r="411" spans="1:46" ht="16.5" hidden="1">
      <c r="A411" s="308">
        <v>21</v>
      </c>
      <c r="B411" s="309" t="s">
        <v>441</v>
      </c>
      <c r="C411" s="310">
        <f t="shared" si="147"/>
        <v>6.24</v>
      </c>
      <c r="D411" s="311">
        <v>0</v>
      </c>
      <c r="E411" s="311">
        <v>4.319</v>
      </c>
      <c r="F411" s="311">
        <v>0.96099999999999997</v>
      </c>
      <c r="G411" s="311">
        <v>0.96</v>
      </c>
      <c r="H411" s="311">
        <v>0</v>
      </c>
      <c r="I411" s="249">
        <f t="shared" si="148"/>
        <v>0.25</v>
      </c>
      <c r="J411" s="240">
        <f t="shared" si="149"/>
        <v>0</v>
      </c>
      <c r="K411" s="262"/>
      <c r="L411" s="196"/>
      <c r="M411" s="196"/>
      <c r="N411" s="196"/>
      <c r="O411" s="196"/>
      <c r="P411" s="240">
        <f t="shared" si="150"/>
        <v>0.25</v>
      </c>
      <c r="Q411" s="196"/>
      <c r="R411" s="196"/>
      <c r="S411" s="196"/>
      <c r="T411" s="196">
        <v>0.25</v>
      </c>
      <c r="U411" s="196"/>
      <c r="V411" s="238">
        <f t="shared" si="151"/>
        <v>974.61838</v>
      </c>
      <c r="W411" s="227">
        <f t="shared" si="152"/>
        <v>3.4560000000000004</v>
      </c>
      <c r="X411" s="237"/>
      <c r="Y411" s="237">
        <v>2.1</v>
      </c>
      <c r="Z411" s="237">
        <v>0.81799999999999995</v>
      </c>
      <c r="AA411" s="237">
        <v>0.53800000000000003</v>
      </c>
      <c r="AB411" s="237"/>
      <c r="AC411" s="227">
        <f t="shared" si="157"/>
        <v>0</v>
      </c>
      <c r="AD411" s="239">
        <f t="shared" si="153"/>
        <v>0</v>
      </c>
      <c r="AE411" s="237"/>
      <c r="AF411" s="237"/>
      <c r="AG411" s="237"/>
      <c r="AH411" s="237"/>
      <c r="AI411" s="237"/>
      <c r="AJ411" s="239">
        <f t="shared" si="154"/>
        <v>0</v>
      </c>
      <c r="AK411" s="237"/>
      <c r="AL411" s="237"/>
      <c r="AM411" s="237"/>
      <c r="AN411" s="237"/>
      <c r="AO411" s="237"/>
      <c r="AP411" s="238">
        <v>659</v>
      </c>
      <c r="AQ411" s="334">
        <f t="shared" si="155"/>
        <v>0.55384615384615388</v>
      </c>
      <c r="AR411" s="207">
        <f t="shared" si="156"/>
        <v>0</v>
      </c>
      <c r="AS411" s="196"/>
      <c r="AT411" s="196"/>
    </row>
    <row r="412" spans="1:46" ht="16.5" hidden="1">
      <c r="A412" s="308"/>
      <c r="B412" s="178" t="s">
        <v>295</v>
      </c>
      <c r="C412" s="310"/>
      <c r="D412" s="311"/>
      <c r="E412" s="311"/>
      <c r="F412" s="311"/>
      <c r="G412" s="311"/>
      <c r="H412" s="311"/>
      <c r="I412" s="249"/>
      <c r="J412" s="240"/>
      <c r="K412" s="262"/>
      <c r="L412" s="196"/>
      <c r="M412" s="196"/>
      <c r="N412" s="196"/>
      <c r="O412" s="196"/>
      <c r="P412" s="240"/>
      <c r="Q412" s="196"/>
      <c r="R412" s="196"/>
      <c r="S412" s="196"/>
      <c r="T412" s="196"/>
      <c r="U412" s="196"/>
      <c r="V412" s="238"/>
      <c r="W412" s="227"/>
      <c r="X412" s="237"/>
      <c r="Y412" s="237"/>
      <c r="Z412" s="237"/>
      <c r="AA412" s="237"/>
      <c r="AB412" s="237"/>
      <c r="AC412" s="227"/>
      <c r="AD412" s="239"/>
      <c r="AE412" s="237"/>
      <c r="AF412" s="237"/>
      <c r="AG412" s="237"/>
      <c r="AH412" s="237"/>
      <c r="AI412" s="237"/>
      <c r="AJ412" s="239"/>
      <c r="AK412" s="237"/>
      <c r="AL412" s="237"/>
      <c r="AM412" s="237"/>
      <c r="AN412" s="237"/>
      <c r="AO412" s="237"/>
      <c r="AP412" s="238"/>
      <c r="AQ412" s="334"/>
      <c r="AR412" s="207"/>
      <c r="AS412" s="196"/>
      <c r="AT412" s="196"/>
    </row>
    <row r="413" spans="1:46" ht="15.5" hidden="1">
      <c r="A413" s="308">
        <v>1</v>
      </c>
      <c r="B413" s="309" t="s">
        <v>442</v>
      </c>
      <c r="C413" s="305">
        <f>D413+E413+F413+G413</f>
        <v>7.08</v>
      </c>
      <c r="D413" s="312">
        <v>6.48</v>
      </c>
      <c r="E413" s="312"/>
      <c r="F413" s="303">
        <v>0.6</v>
      </c>
      <c r="G413" s="312"/>
      <c r="H413" s="196"/>
      <c r="I413" s="249">
        <f>J413+P413</f>
        <v>1.65</v>
      </c>
      <c r="J413" s="240">
        <f>SUM(K413:O413)</f>
        <v>0</v>
      </c>
      <c r="K413" s="262"/>
      <c r="L413" s="196"/>
      <c r="M413" s="196"/>
      <c r="N413" s="196"/>
      <c r="O413" s="196"/>
      <c r="P413" s="240">
        <f>SUM(Q413:U413)</f>
        <v>1.65</v>
      </c>
      <c r="Q413" s="196">
        <v>1.65</v>
      </c>
      <c r="R413" s="196"/>
      <c r="S413" s="196"/>
      <c r="T413" s="196"/>
      <c r="U413" s="196"/>
      <c r="V413" s="238">
        <f>D413*194.67+E413*173.04+F413*111.72+G413*111.72+H413*127.68+K413*86.255+L413*71.648+M413*84.489+N413*58.258+O413*53.065+Q413*72.658+R413*60.9+S413*74.716+T413*50.578+U413*46.62</f>
        <v>1448.3793000000001</v>
      </c>
      <c r="W413" s="227">
        <f>SUM(X413:AB413)</f>
        <v>7.08</v>
      </c>
      <c r="X413" s="237">
        <v>6.48</v>
      </c>
      <c r="Y413" s="237"/>
      <c r="Z413" s="237">
        <v>0.6</v>
      </c>
      <c r="AA413" s="237"/>
      <c r="AB413" s="237"/>
      <c r="AC413" s="227">
        <f t="shared" si="157"/>
        <v>1.65</v>
      </c>
      <c r="AD413" s="239">
        <f>SUM(AE413:AI413)</f>
        <v>0</v>
      </c>
      <c r="AE413" s="237"/>
      <c r="AF413" s="237"/>
      <c r="AG413" s="237"/>
      <c r="AH413" s="237"/>
      <c r="AI413" s="237"/>
      <c r="AJ413" s="239">
        <f>SUM(AK413:AO413)</f>
        <v>1.65</v>
      </c>
      <c r="AK413" s="237">
        <v>1.65</v>
      </c>
      <c r="AL413" s="237"/>
      <c r="AM413" s="237"/>
      <c r="AN413" s="237"/>
      <c r="AO413" s="237"/>
      <c r="AP413" s="238">
        <v>1420.6</v>
      </c>
      <c r="AQ413" s="334">
        <f>W413/C413</f>
        <v>1</v>
      </c>
      <c r="AR413" s="207">
        <f>AC413/I413</f>
        <v>1</v>
      </c>
      <c r="AS413" s="196"/>
      <c r="AT413" s="196"/>
    </row>
    <row r="414" spans="1:46" hidden="1">
      <c r="A414" s="196"/>
      <c r="B414" s="241" t="s">
        <v>1</v>
      </c>
      <c r="C414" s="227">
        <f t="shared" ref="C414:AP414" si="158">SUM(C391:C413)</f>
        <v>123.90300000000001</v>
      </c>
      <c r="D414" s="227">
        <f t="shared" si="158"/>
        <v>10.226000000000001</v>
      </c>
      <c r="E414" s="227">
        <f t="shared" si="158"/>
        <v>29.547000000000001</v>
      </c>
      <c r="F414" s="227">
        <f t="shared" si="158"/>
        <v>67.11</v>
      </c>
      <c r="G414" s="227">
        <f t="shared" si="158"/>
        <v>13.45</v>
      </c>
      <c r="H414" s="227">
        <f t="shared" si="158"/>
        <v>3.57</v>
      </c>
      <c r="I414" s="227">
        <f t="shared" si="158"/>
        <v>23.718</v>
      </c>
      <c r="J414" s="227">
        <f t="shared" si="158"/>
        <v>5.8979999999999997</v>
      </c>
      <c r="K414" s="227">
        <f t="shared" si="158"/>
        <v>2.9400000000000004</v>
      </c>
      <c r="L414" s="227">
        <f t="shared" si="158"/>
        <v>2.9580000000000002</v>
      </c>
      <c r="M414" s="227">
        <f t="shared" si="158"/>
        <v>0</v>
      </c>
      <c r="N414" s="227">
        <f t="shared" si="158"/>
        <v>0</v>
      </c>
      <c r="O414" s="227">
        <f t="shared" si="158"/>
        <v>0</v>
      </c>
      <c r="P414" s="227">
        <f t="shared" si="158"/>
        <v>17.82</v>
      </c>
      <c r="Q414" s="227">
        <f t="shared" si="158"/>
        <v>1.98</v>
      </c>
      <c r="R414" s="227">
        <f t="shared" si="158"/>
        <v>14.68</v>
      </c>
      <c r="S414" s="227">
        <f t="shared" si="158"/>
        <v>0.27</v>
      </c>
      <c r="T414" s="227">
        <f t="shared" si="158"/>
        <v>0.89</v>
      </c>
      <c r="U414" s="227">
        <f t="shared" si="158"/>
        <v>0</v>
      </c>
      <c r="V414" s="242">
        <f t="shared" si="158"/>
        <v>18128.076164000002</v>
      </c>
      <c r="W414" s="227">
        <f t="shared" si="158"/>
        <v>92.622999999999976</v>
      </c>
      <c r="X414" s="227">
        <f t="shared" si="158"/>
        <v>8.995000000000001</v>
      </c>
      <c r="Y414" s="227">
        <f t="shared" si="158"/>
        <v>18.183</v>
      </c>
      <c r="Z414" s="227">
        <f t="shared" si="158"/>
        <v>55.472999999999992</v>
      </c>
      <c r="AA414" s="227">
        <f t="shared" si="158"/>
        <v>7.8219999999999992</v>
      </c>
      <c r="AB414" s="227">
        <f t="shared" si="158"/>
        <v>2.15</v>
      </c>
      <c r="AC414" s="227">
        <f t="shared" si="158"/>
        <v>3.5880000000000001</v>
      </c>
      <c r="AD414" s="227">
        <f t="shared" si="158"/>
        <v>0.56799999999999995</v>
      </c>
      <c r="AE414" s="227">
        <f t="shared" si="158"/>
        <v>8.5999999999999993E-2</v>
      </c>
      <c r="AF414" s="227">
        <f t="shared" si="158"/>
        <v>0.48199999999999998</v>
      </c>
      <c r="AG414" s="227">
        <f t="shared" si="158"/>
        <v>0</v>
      </c>
      <c r="AH414" s="227">
        <f t="shared" si="158"/>
        <v>0</v>
      </c>
      <c r="AI414" s="227">
        <f t="shared" si="158"/>
        <v>0</v>
      </c>
      <c r="AJ414" s="227">
        <f t="shared" si="158"/>
        <v>3.02</v>
      </c>
      <c r="AK414" s="227">
        <f t="shared" si="158"/>
        <v>1.6529999999999998</v>
      </c>
      <c r="AL414" s="227">
        <f t="shared" si="158"/>
        <v>1.367</v>
      </c>
      <c r="AM414" s="227">
        <f t="shared" si="158"/>
        <v>0</v>
      </c>
      <c r="AN414" s="227">
        <f t="shared" si="158"/>
        <v>0</v>
      </c>
      <c r="AO414" s="227">
        <f t="shared" si="158"/>
        <v>0</v>
      </c>
      <c r="AP414" s="227">
        <f t="shared" si="158"/>
        <v>13420.300000000001</v>
      </c>
      <c r="AQ414" s="332">
        <f>W414/C414</f>
        <v>0.74754445009402493</v>
      </c>
      <c r="AR414" s="226">
        <f>AC414/I414</f>
        <v>0.15127751075132811</v>
      </c>
      <c r="AS414" s="227">
        <f>SUM(AS391:AS413)</f>
        <v>0</v>
      </c>
      <c r="AT414" s="227">
        <f>SUM(AT391:AT413)</f>
        <v>0</v>
      </c>
    </row>
    <row r="415" spans="1:46" hidden="1"/>
    <row r="416" spans="1:46" hidden="1">
      <c r="B416" s="538" t="s">
        <v>190</v>
      </c>
      <c r="C416" s="539"/>
      <c r="D416" s="539"/>
      <c r="E416" s="539"/>
      <c r="F416" s="539"/>
      <c r="V416" s="173" t="s">
        <v>191</v>
      </c>
      <c r="W416" s="174"/>
      <c r="X416" s="174"/>
      <c r="Y416" s="174"/>
      <c r="Z416" s="174"/>
      <c r="AA416" s="174"/>
      <c r="AB416" s="174"/>
      <c r="AC416" s="174"/>
      <c r="AD416" s="174"/>
      <c r="AE416" s="174"/>
      <c r="AF416" s="174"/>
      <c r="AG416" s="174"/>
      <c r="AH416" s="174"/>
      <c r="AI416" s="174"/>
      <c r="AJ416" s="174"/>
      <c r="AK416" s="174"/>
      <c r="AL416" s="174"/>
      <c r="AM416" s="174"/>
      <c r="AN416" s="174"/>
      <c r="AO416" s="174"/>
      <c r="AP416" s="174"/>
      <c r="AQ416" s="331"/>
    </row>
    <row r="417" spans="1:46" hidden="1">
      <c r="B417" s="538" t="s">
        <v>443</v>
      </c>
      <c r="C417" s="539"/>
      <c r="D417" s="539"/>
      <c r="E417" s="539"/>
      <c r="F417" s="539"/>
      <c r="V417" s="173" t="s">
        <v>193</v>
      </c>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331"/>
    </row>
    <row r="418" spans="1:46" hidden="1">
      <c r="B418" s="172"/>
      <c r="C418" s="172"/>
      <c r="D418" s="172"/>
      <c r="E418" s="172"/>
      <c r="F418" s="172"/>
      <c r="V418" s="173"/>
      <c r="W418" s="174"/>
      <c r="X418" s="174"/>
      <c r="Y418" s="174"/>
      <c r="Z418" s="174"/>
      <c r="AA418" s="174"/>
      <c r="AB418" s="174"/>
      <c r="AC418" s="174"/>
      <c r="AD418" s="174"/>
      <c r="AE418" s="174"/>
      <c r="AF418" s="174"/>
      <c r="AG418" s="174"/>
      <c r="AH418" s="174"/>
      <c r="AI418" s="174"/>
      <c r="AJ418" s="174"/>
      <c r="AK418" s="174"/>
      <c r="AL418" s="174"/>
      <c r="AM418" s="174"/>
      <c r="AN418" s="174"/>
      <c r="AO418" s="174"/>
      <c r="AP418" s="174"/>
      <c r="AQ418" s="331"/>
    </row>
    <row r="419" spans="1:46" hidden="1">
      <c r="A419" s="542" t="str">
        <f>A5</f>
        <v>Biểu 5: KẾT QUẢ THỰC HIỆN KẾ HOẠCH LÀM ĐƯỜNG GTNT, RÃNH THOÁT NƯỚC THEO CƠ CHẾ HỖ TRỢ XI MĂNG ĐẾN NGÀY 19/12/2016</v>
      </c>
      <c r="B419" s="542"/>
      <c r="C419" s="542"/>
      <c r="D419" s="542"/>
      <c r="E419" s="542"/>
      <c r="F419" s="542"/>
      <c r="G419" s="542"/>
      <c r="H419" s="542"/>
      <c r="I419" s="542"/>
      <c r="J419" s="542"/>
      <c r="K419" s="542"/>
      <c r="L419" s="542"/>
      <c r="M419" s="542"/>
      <c r="N419" s="542"/>
      <c r="O419" s="542"/>
      <c r="P419" s="542"/>
      <c r="Q419" s="542"/>
      <c r="R419" s="542"/>
      <c r="S419" s="542"/>
      <c r="T419" s="542"/>
      <c r="U419" s="542"/>
      <c r="V419" s="542"/>
      <c r="W419" s="542"/>
      <c r="X419" s="542"/>
      <c r="Y419" s="542"/>
      <c r="Z419" s="542"/>
      <c r="AA419" s="542"/>
      <c r="AB419" s="542"/>
      <c r="AC419" s="542"/>
      <c r="AD419" s="542"/>
      <c r="AE419" s="542"/>
      <c r="AF419" s="542"/>
      <c r="AG419" s="542"/>
      <c r="AH419" s="542"/>
      <c r="AI419" s="542"/>
      <c r="AJ419" s="542"/>
      <c r="AK419" s="542"/>
      <c r="AL419" s="542"/>
      <c r="AM419" s="542"/>
      <c r="AN419" s="542"/>
      <c r="AO419" s="542"/>
      <c r="AP419" s="542"/>
      <c r="AQ419" s="542"/>
      <c r="AR419" s="542"/>
      <c r="AS419" s="542"/>
      <c r="AT419" s="542"/>
    </row>
    <row r="420" spans="1:46" hidden="1">
      <c r="A420" s="543"/>
      <c r="B420" s="543"/>
      <c r="C420" s="543"/>
      <c r="D420" s="543"/>
      <c r="E420" s="543"/>
      <c r="F420" s="543"/>
      <c r="G420" s="543"/>
      <c r="H420" s="543"/>
      <c r="I420" s="543"/>
      <c r="J420" s="543"/>
      <c r="K420" s="543"/>
      <c r="L420" s="543"/>
      <c r="M420" s="543"/>
      <c r="N420" s="543"/>
      <c r="O420" s="543"/>
      <c r="P420" s="543"/>
      <c r="Q420" s="543"/>
      <c r="R420" s="543"/>
      <c r="S420" s="543"/>
      <c r="T420" s="543"/>
      <c r="U420" s="543"/>
      <c r="V420" s="543"/>
      <c r="W420" s="543"/>
      <c r="X420" s="543"/>
      <c r="Y420" s="543"/>
      <c r="Z420" s="543"/>
      <c r="AA420" s="543"/>
      <c r="AB420" s="543"/>
      <c r="AC420" s="543"/>
      <c r="AD420" s="543"/>
      <c r="AE420" s="543"/>
      <c r="AF420" s="543"/>
      <c r="AG420" s="543"/>
      <c r="AH420" s="543"/>
      <c r="AI420" s="543"/>
      <c r="AJ420" s="543"/>
      <c r="AK420" s="543"/>
      <c r="AL420" s="543"/>
      <c r="AM420" s="543"/>
      <c r="AN420" s="543"/>
      <c r="AO420" s="543"/>
      <c r="AP420" s="543"/>
      <c r="AQ420" s="543"/>
      <c r="AR420" s="543"/>
      <c r="AS420" s="543"/>
      <c r="AT420" s="543"/>
    </row>
    <row r="421" spans="1:46" ht="14.25" hidden="1" customHeight="1">
      <c r="A421" s="544" t="s">
        <v>0</v>
      </c>
      <c r="B421" s="533" t="s">
        <v>161</v>
      </c>
      <c r="C421" s="546" t="s">
        <v>162</v>
      </c>
      <c r="D421" s="546"/>
      <c r="E421" s="546"/>
      <c r="F421" s="546"/>
      <c r="G421" s="546"/>
      <c r="H421" s="546"/>
      <c r="I421" s="546"/>
      <c r="J421" s="546"/>
      <c r="K421" s="546"/>
      <c r="L421" s="546"/>
      <c r="M421" s="546"/>
      <c r="N421" s="546"/>
      <c r="O421" s="546"/>
      <c r="P421" s="546"/>
      <c r="Q421" s="546"/>
      <c r="R421" s="546"/>
      <c r="S421" s="546"/>
      <c r="T421" s="546"/>
      <c r="U421" s="546"/>
      <c r="V421" s="546"/>
      <c r="W421" s="547" t="s">
        <v>163</v>
      </c>
      <c r="X421" s="547"/>
      <c r="Y421" s="547"/>
      <c r="Z421" s="547"/>
      <c r="AA421" s="547"/>
      <c r="AB421" s="547"/>
      <c r="AC421" s="547"/>
      <c r="AD421" s="547"/>
      <c r="AE421" s="547"/>
      <c r="AF421" s="547"/>
      <c r="AG421" s="547"/>
      <c r="AH421" s="547"/>
      <c r="AI421" s="547"/>
      <c r="AJ421" s="547"/>
      <c r="AK421" s="547"/>
      <c r="AL421" s="547"/>
      <c r="AM421" s="547"/>
      <c r="AN421" s="547"/>
      <c r="AO421" s="547"/>
      <c r="AP421" s="547"/>
      <c r="AQ421" s="547" t="s">
        <v>164</v>
      </c>
      <c r="AR421" s="547"/>
      <c r="AS421" s="547" t="s">
        <v>165</v>
      </c>
      <c r="AT421" s="547"/>
    </row>
    <row r="422" spans="1:46" ht="15" hidden="1" customHeight="1">
      <c r="A422" s="545"/>
      <c r="B422" s="534"/>
      <c r="C422" s="533" t="s">
        <v>166</v>
      </c>
      <c r="D422" s="536" t="s">
        <v>167</v>
      </c>
      <c r="E422" s="536"/>
      <c r="F422" s="536"/>
      <c r="G422" s="536"/>
      <c r="H422" s="536"/>
      <c r="I422" s="533" t="s">
        <v>168</v>
      </c>
      <c r="J422" s="537" t="s">
        <v>167</v>
      </c>
      <c r="K422" s="537"/>
      <c r="L422" s="537"/>
      <c r="M422" s="537"/>
      <c r="N422" s="537"/>
      <c r="O422" s="537"/>
      <c r="P422" s="537"/>
      <c r="Q422" s="537"/>
      <c r="R422" s="537"/>
      <c r="S422" s="537"/>
      <c r="T422" s="537"/>
      <c r="U422" s="537"/>
      <c r="V422" s="552" t="s">
        <v>169</v>
      </c>
      <c r="W422" s="533" t="s">
        <v>170</v>
      </c>
      <c r="X422" s="555" t="s">
        <v>167</v>
      </c>
      <c r="Y422" s="555"/>
      <c r="Z422" s="555"/>
      <c r="AA422" s="555"/>
      <c r="AB422" s="555"/>
      <c r="AC422" s="533" t="s">
        <v>168</v>
      </c>
      <c r="AD422" s="537" t="s">
        <v>167</v>
      </c>
      <c r="AE422" s="537"/>
      <c r="AF422" s="537"/>
      <c r="AG422" s="537"/>
      <c r="AH422" s="537"/>
      <c r="AI422" s="537"/>
      <c r="AJ422" s="537"/>
      <c r="AK422" s="537"/>
      <c r="AL422" s="537"/>
      <c r="AM422" s="537"/>
      <c r="AN422" s="537"/>
      <c r="AO422" s="537"/>
      <c r="AP422" s="552" t="s">
        <v>171</v>
      </c>
      <c r="AQ422" s="548" t="s">
        <v>172</v>
      </c>
      <c r="AR422" s="548" t="s">
        <v>173</v>
      </c>
      <c r="AS422" s="548" t="s">
        <v>170</v>
      </c>
      <c r="AT422" s="548" t="s">
        <v>168</v>
      </c>
    </row>
    <row r="423" spans="1:46" ht="15" hidden="1" customHeight="1">
      <c r="A423" s="545"/>
      <c r="B423" s="534"/>
      <c r="C423" s="534"/>
      <c r="D423" s="552" t="s">
        <v>174</v>
      </c>
      <c r="E423" s="552" t="s">
        <v>175</v>
      </c>
      <c r="F423" s="552" t="s">
        <v>176</v>
      </c>
      <c r="G423" s="552" t="s">
        <v>177</v>
      </c>
      <c r="H423" s="552" t="s">
        <v>178</v>
      </c>
      <c r="I423" s="534"/>
      <c r="J423" s="537" t="s">
        <v>179</v>
      </c>
      <c r="K423" s="537"/>
      <c r="L423" s="537"/>
      <c r="M423" s="537"/>
      <c r="N423" s="537"/>
      <c r="O423" s="537"/>
      <c r="P423" s="537" t="s">
        <v>180</v>
      </c>
      <c r="Q423" s="537"/>
      <c r="R423" s="537"/>
      <c r="S423" s="537"/>
      <c r="T423" s="537"/>
      <c r="U423" s="537"/>
      <c r="V423" s="553"/>
      <c r="W423" s="534"/>
      <c r="X423" s="552" t="s">
        <v>174</v>
      </c>
      <c r="Y423" s="552" t="s">
        <v>175</v>
      </c>
      <c r="Z423" s="552" t="s">
        <v>176</v>
      </c>
      <c r="AA423" s="552" t="s">
        <v>177</v>
      </c>
      <c r="AB423" s="552" t="s">
        <v>178</v>
      </c>
      <c r="AC423" s="534"/>
      <c r="AD423" s="537" t="s">
        <v>179</v>
      </c>
      <c r="AE423" s="537"/>
      <c r="AF423" s="537"/>
      <c r="AG423" s="537"/>
      <c r="AH423" s="537"/>
      <c r="AI423" s="537"/>
      <c r="AJ423" s="537" t="s">
        <v>180</v>
      </c>
      <c r="AK423" s="537"/>
      <c r="AL423" s="537"/>
      <c r="AM423" s="537"/>
      <c r="AN423" s="537"/>
      <c r="AO423" s="537"/>
      <c r="AP423" s="553"/>
      <c r="AQ423" s="549"/>
      <c r="AR423" s="549"/>
      <c r="AS423" s="549"/>
      <c r="AT423" s="549"/>
    </row>
    <row r="424" spans="1:46" ht="15.5" hidden="1">
      <c r="A424" s="179"/>
      <c r="B424" s="534"/>
      <c r="C424" s="534"/>
      <c r="D424" s="553"/>
      <c r="E424" s="553"/>
      <c r="F424" s="553"/>
      <c r="G424" s="553"/>
      <c r="H424" s="553"/>
      <c r="I424" s="534"/>
      <c r="J424" s="556" t="s">
        <v>1</v>
      </c>
      <c r="K424" s="551" t="s">
        <v>181</v>
      </c>
      <c r="L424" s="551"/>
      <c r="M424" s="551" t="s">
        <v>182</v>
      </c>
      <c r="N424" s="551"/>
      <c r="O424" s="551" t="s">
        <v>183</v>
      </c>
      <c r="P424" s="556" t="s">
        <v>1</v>
      </c>
      <c r="Q424" s="551" t="s">
        <v>181</v>
      </c>
      <c r="R424" s="551"/>
      <c r="S424" s="551" t="s">
        <v>182</v>
      </c>
      <c r="T424" s="551"/>
      <c r="U424" s="551" t="s">
        <v>183</v>
      </c>
      <c r="V424" s="553"/>
      <c r="W424" s="534"/>
      <c r="X424" s="553"/>
      <c r="Y424" s="553"/>
      <c r="Z424" s="553"/>
      <c r="AA424" s="553"/>
      <c r="AB424" s="553"/>
      <c r="AC424" s="534"/>
      <c r="AD424" s="556" t="s">
        <v>1</v>
      </c>
      <c r="AE424" s="551" t="s">
        <v>181</v>
      </c>
      <c r="AF424" s="551"/>
      <c r="AG424" s="551" t="s">
        <v>182</v>
      </c>
      <c r="AH424" s="551"/>
      <c r="AI424" s="551" t="s">
        <v>183</v>
      </c>
      <c r="AJ424" s="556" t="s">
        <v>1</v>
      </c>
      <c r="AK424" s="551" t="s">
        <v>181</v>
      </c>
      <c r="AL424" s="551"/>
      <c r="AM424" s="551" t="s">
        <v>182</v>
      </c>
      <c r="AN424" s="551"/>
      <c r="AO424" s="551" t="s">
        <v>183</v>
      </c>
      <c r="AP424" s="553"/>
      <c r="AQ424" s="549"/>
      <c r="AR424" s="549"/>
      <c r="AS424" s="549"/>
      <c r="AT424" s="549"/>
    </row>
    <row r="425" spans="1:46" ht="90" hidden="1" customHeight="1">
      <c r="A425" s="179"/>
      <c r="B425" s="535"/>
      <c r="C425" s="535"/>
      <c r="D425" s="554"/>
      <c r="E425" s="554"/>
      <c r="F425" s="554"/>
      <c r="G425" s="554"/>
      <c r="H425" s="554"/>
      <c r="I425" s="535"/>
      <c r="J425" s="557"/>
      <c r="K425" s="186" t="s">
        <v>184</v>
      </c>
      <c r="L425" s="186" t="s">
        <v>185</v>
      </c>
      <c r="M425" s="186" t="s">
        <v>184</v>
      </c>
      <c r="N425" s="186" t="s">
        <v>185</v>
      </c>
      <c r="O425" s="551"/>
      <c r="P425" s="557"/>
      <c r="Q425" s="186" t="s">
        <v>184</v>
      </c>
      <c r="R425" s="186" t="s">
        <v>185</v>
      </c>
      <c r="S425" s="186" t="s">
        <v>184</v>
      </c>
      <c r="T425" s="186" t="s">
        <v>185</v>
      </c>
      <c r="U425" s="551"/>
      <c r="V425" s="554"/>
      <c r="W425" s="535"/>
      <c r="X425" s="554"/>
      <c r="Y425" s="554"/>
      <c r="Z425" s="554"/>
      <c r="AA425" s="554"/>
      <c r="AB425" s="554"/>
      <c r="AC425" s="535"/>
      <c r="AD425" s="557"/>
      <c r="AE425" s="186" t="s">
        <v>184</v>
      </c>
      <c r="AF425" s="186" t="s">
        <v>185</v>
      </c>
      <c r="AG425" s="186" t="s">
        <v>184</v>
      </c>
      <c r="AH425" s="186" t="s">
        <v>185</v>
      </c>
      <c r="AI425" s="551"/>
      <c r="AJ425" s="557"/>
      <c r="AK425" s="186" t="s">
        <v>184</v>
      </c>
      <c r="AL425" s="186" t="s">
        <v>185</v>
      </c>
      <c r="AM425" s="186" t="s">
        <v>184</v>
      </c>
      <c r="AN425" s="186" t="s">
        <v>185</v>
      </c>
      <c r="AO425" s="551"/>
      <c r="AP425" s="554"/>
      <c r="AQ425" s="550"/>
      <c r="AR425" s="550"/>
      <c r="AS425" s="550"/>
      <c r="AT425" s="550"/>
    </row>
    <row r="426" spans="1:46" ht="15.5" hidden="1">
      <c r="A426" s="313">
        <v>1</v>
      </c>
      <c r="B426" s="314" t="s">
        <v>444</v>
      </c>
      <c r="C426" s="315">
        <f t="shared" ref="C426:C437" si="159">SUM(D426:H426)</f>
        <v>3.1</v>
      </c>
      <c r="D426" s="314"/>
      <c r="E426" s="315">
        <v>1</v>
      </c>
      <c r="F426" s="315">
        <v>0.5</v>
      </c>
      <c r="G426" s="315">
        <v>1.5</v>
      </c>
      <c r="H426" s="315">
        <v>0.1</v>
      </c>
      <c r="I426" s="249">
        <f t="shared" ref="I426:I438" si="160">J426+P426</f>
        <v>6.8000000000000007</v>
      </c>
      <c r="J426" s="240">
        <f t="shared" ref="J426:J438" si="161">SUM(K426:O426)</f>
        <v>2.6</v>
      </c>
      <c r="K426" s="196">
        <v>2.6</v>
      </c>
      <c r="L426" s="196"/>
      <c r="M426" s="196"/>
      <c r="N426" s="196"/>
      <c r="O426" s="196"/>
      <c r="P426" s="240">
        <f t="shared" ref="P426:P438" si="162">SUM(Q426:U426)</f>
        <v>4.2</v>
      </c>
      <c r="Q426" s="196"/>
      <c r="R426" s="196"/>
      <c r="S426" s="196">
        <v>3</v>
      </c>
      <c r="T426" s="196">
        <v>1.2</v>
      </c>
      <c r="U426" s="196"/>
      <c r="V426" s="238">
        <f t="shared" ref="V426:V438" si="163">D426*194.67+E426*173.04+F426*111.72+G426*111.72+H426*127.68+K426*86.255+L426*71.648+M426*84.489+N426*58.258+O426*53.065+Q426*72.658+R426*60.9+S426*74.716+T426*50.578+U426*46.62</f>
        <v>918.35259999999994</v>
      </c>
      <c r="W426" s="227">
        <f t="shared" ref="W426:W438" si="164">SUM(X426:AB426)</f>
        <v>2.8</v>
      </c>
      <c r="X426" s="237"/>
      <c r="Y426" s="237"/>
      <c r="Z426" s="237">
        <v>2.8</v>
      </c>
      <c r="AA426" s="237"/>
      <c r="AB426" s="237"/>
      <c r="AC426" s="227">
        <f t="shared" ref="AC426:AC438" si="165">AD426+AJ426</f>
        <v>4</v>
      </c>
      <c r="AD426" s="239">
        <f t="shared" ref="AD426:AD438" si="166">SUM(AE426:AI426)</f>
        <v>0</v>
      </c>
      <c r="AE426" s="237"/>
      <c r="AF426" s="237"/>
      <c r="AG426" s="237"/>
      <c r="AH426" s="237"/>
      <c r="AI426" s="237"/>
      <c r="AJ426" s="239">
        <f t="shared" ref="AJ426:AJ438" si="167">SUM(AK426:AO426)</f>
        <v>4</v>
      </c>
      <c r="AK426" s="237"/>
      <c r="AL426" s="237"/>
      <c r="AM426" s="237">
        <v>4</v>
      </c>
      <c r="AN426" s="237"/>
      <c r="AO426" s="237"/>
      <c r="AP426" s="196">
        <v>551.20000000000005</v>
      </c>
      <c r="AQ426" s="334">
        <f t="shared" ref="AQ426:AQ439" si="168">W426/C426</f>
        <v>0.90322580645161277</v>
      </c>
      <c r="AR426" s="207">
        <f t="shared" ref="AR426:AR439" si="169">AC426/I426</f>
        <v>0.58823529411764697</v>
      </c>
      <c r="AS426" s="196"/>
      <c r="AT426" s="196"/>
    </row>
    <row r="427" spans="1:46" ht="15.5" hidden="1">
      <c r="A427" s="313">
        <v>2</v>
      </c>
      <c r="B427" s="314" t="s">
        <v>445</v>
      </c>
      <c r="C427" s="315">
        <f t="shared" si="159"/>
        <v>5.5</v>
      </c>
      <c r="D427" s="316">
        <v>0</v>
      </c>
      <c r="E427" s="315">
        <v>2</v>
      </c>
      <c r="F427" s="315"/>
      <c r="G427" s="315">
        <v>3.5</v>
      </c>
      <c r="H427" s="316">
        <v>0</v>
      </c>
      <c r="I427" s="249">
        <f t="shared" si="160"/>
        <v>0</v>
      </c>
      <c r="J427" s="240">
        <f t="shared" si="161"/>
        <v>0</v>
      </c>
      <c r="K427" s="196"/>
      <c r="L427" s="196"/>
      <c r="M427" s="196"/>
      <c r="N427" s="196"/>
      <c r="O427" s="196"/>
      <c r="P427" s="240">
        <f t="shared" si="162"/>
        <v>0</v>
      </c>
      <c r="Q427" s="196"/>
      <c r="R427" s="196"/>
      <c r="S427" s="196"/>
      <c r="T427" s="196"/>
      <c r="U427" s="196"/>
      <c r="V427" s="238">
        <f t="shared" si="163"/>
        <v>737.09999999999991</v>
      </c>
      <c r="W427" s="227">
        <f t="shared" si="164"/>
        <v>5.4640000000000004</v>
      </c>
      <c r="X427" s="237"/>
      <c r="Y427" s="237">
        <v>1.74</v>
      </c>
      <c r="Z427" s="237">
        <v>0.874</v>
      </c>
      <c r="AA427" s="237">
        <v>2.85</v>
      </c>
      <c r="AB427" s="237"/>
      <c r="AC427" s="227">
        <f t="shared" si="165"/>
        <v>0</v>
      </c>
      <c r="AD427" s="239">
        <f t="shared" si="166"/>
        <v>0</v>
      </c>
      <c r="AE427" s="237"/>
      <c r="AF427" s="237"/>
      <c r="AG427" s="237"/>
      <c r="AH427" s="237"/>
      <c r="AI427" s="237"/>
      <c r="AJ427" s="239">
        <f t="shared" si="167"/>
        <v>0</v>
      </c>
      <c r="AK427" s="237"/>
      <c r="AL427" s="237"/>
      <c r="AM427" s="237"/>
      <c r="AN427" s="237"/>
      <c r="AO427" s="237"/>
      <c r="AP427" s="196">
        <v>691.4</v>
      </c>
      <c r="AQ427" s="334">
        <f t="shared" si="168"/>
        <v>0.99345454545454548</v>
      </c>
      <c r="AR427" s="207" t="e">
        <f t="shared" si="169"/>
        <v>#DIV/0!</v>
      </c>
      <c r="AS427" s="196"/>
      <c r="AT427" s="196"/>
    </row>
    <row r="428" spans="1:46" ht="15.5" hidden="1">
      <c r="A428" s="313">
        <v>3</v>
      </c>
      <c r="B428" s="314" t="s">
        <v>446</v>
      </c>
      <c r="C428" s="315">
        <f t="shared" si="159"/>
        <v>0.5</v>
      </c>
      <c r="D428" s="316">
        <v>0</v>
      </c>
      <c r="E428" s="315"/>
      <c r="F428" s="315">
        <v>0.5</v>
      </c>
      <c r="G428" s="316">
        <v>0</v>
      </c>
      <c r="H428" s="316">
        <v>0</v>
      </c>
      <c r="I428" s="249">
        <f t="shared" si="160"/>
        <v>0.3</v>
      </c>
      <c r="J428" s="240">
        <f t="shared" si="161"/>
        <v>0</v>
      </c>
      <c r="K428" s="196"/>
      <c r="L428" s="196"/>
      <c r="M428" s="196"/>
      <c r="N428" s="196"/>
      <c r="O428" s="196"/>
      <c r="P428" s="240">
        <f t="shared" si="162"/>
        <v>0.3</v>
      </c>
      <c r="Q428" s="196"/>
      <c r="R428" s="196"/>
      <c r="S428" s="196">
        <v>0.3</v>
      </c>
      <c r="T428" s="196"/>
      <c r="U428" s="196"/>
      <c r="V428" s="238">
        <f t="shared" si="163"/>
        <v>78.274799999999999</v>
      </c>
      <c r="W428" s="227">
        <f t="shared" si="164"/>
        <v>0.5</v>
      </c>
      <c r="X428" s="237"/>
      <c r="Y428" s="237">
        <v>0.5</v>
      </c>
      <c r="Z428" s="237"/>
      <c r="AA428" s="237"/>
      <c r="AB428" s="237"/>
      <c r="AC428" s="227">
        <f t="shared" si="165"/>
        <v>0</v>
      </c>
      <c r="AD428" s="239">
        <f t="shared" si="166"/>
        <v>0</v>
      </c>
      <c r="AE428" s="237"/>
      <c r="AF428" s="237"/>
      <c r="AG428" s="237"/>
      <c r="AH428" s="237"/>
      <c r="AI428" s="237"/>
      <c r="AJ428" s="239">
        <f t="shared" si="167"/>
        <v>0</v>
      </c>
      <c r="AK428" s="237"/>
      <c r="AL428" s="237"/>
      <c r="AM428" s="237"/>
      <c r="AN428" s="237"/>
      <c r="AO428" s="237"/>
      <c r="AP428" s="196">
        <v>32</v>
      </c>
      <c r="AQ428" s="334">
        <f t="shared" si="168"/>
        <v>1</v>
      </c>
      <c r="AR428" s="207">
        <f t="shared" si="169"/>
        <v>0</v>
      </c>
      <c r="AS428" s="196"/>
      <c r="AT428" s="196"/>
    </row>
    <row r="429" spans="1:46" ht="15.5" hidden="1">
      <c r="A429" s="313">
        <v>4</v>
      </c>
      <c r="B429" s="314" t="s">
        <v>447</v>
      </c>
      <c r="C429" s="315">
        <f t="shared" si="159"/>
        <v>3.5</v>
      </c>
      <c r="D429" s="316">
        <v>0</v>
      </c>
      <c r="E429" s="315">
        <v>0.5</v>
      </c>
      <c r="F429" s="315">
        <v>2</v>
      </c>
      <c r="G429" s="315">
        <v>1</v>
      </c>
      <c r="H429" s="316">
        <v>0</v>
      </c>
      <c r="I429" s="249">
        <f t="shared" si="160"/>
        <v>3.55</v>
      </c>
      <c r="J429" s="240">
        <f t="shared" si="161"/>
        <v>1.4</v>
      </c>
      <c r="K429" s="196"/>
      <c r="L429" s="196">
        <v>1.4</v>
      </c>
      <c r="M429" s="196"/>
      <c r="N429" s="196"/>
      <c r="O429" s="196"/>
      <c r="P429" s="240">
        <f t="shared" si="162"/>
        <v>2.15</v>
      </c>
      <c r="Q429" s="196"/>
      <c r="R429" s="196"/>
      <c r="S429" s="196"/>
      <c r="T429" s="196">
        <v>2.15</v>
      </c>
      <c r="U429" s="196"/>
      <c r="V429" s="238">
        <f t="shared" si="163"/>
        <v>630.72989999999993</v>
      </c>
      <c r="W429" s="227">
        <f t="shared" si="164"/>
        <v>2.6579999999999999</v>
      </c>
      <c r="X429" s="237"/>
      <c r="Y429" s="237">
        <v>0.77200000000000002</v>
      </c>
      <c r="Z429" s="237">
        <v>0.91900000000000004</v>
      </c>
      <c r="AA429" s="237">
        <v>0.96699999999999997</v>
      </c>
      <c r="AB429" s="237"/>
      <c r="AC429" s="227">
        <f t="shared" si="165"/>
        <v>0</v>
      </c>
      <c r="AD429" s="239">
        <f t="shared" si="166"/>
        <v>0</v>
      </c>
      <c r="AE429" s="237"/>
      <c r="AF429" s="237"/>
      <c r="AG429" s="237"/>
      <c r="AH429" s="237"/>
      <c r="AI429" s="237"/>
      <c r="AJ429" s="239">
        <f t="shared" si="167"/>
        <v>0</v>
      </c>
      <c r="AK429" s="237"/>
      <c r="AL429" s="237"/>
      <c r="AM429" s="237"/>
      <c r="AN429" s="237"/>
      <c r="AO429" s="237"/>
      <c r="AP429" s="196">
        <v>496.3</v>
      </c>
      <c r="AQ429" s="334">
        <f t="shared" si="168"/>
        <v>0.75942857142857145</v>
      </c>
      <c r="AR429" s="207">
        <f t="shared" si="169"/>
        <v>0</v>
      </c>
      <c r="AS429" s="196"/>
      <c r="AT429" s="196"/>
    </row>
    <row r="430" spans="1:46" ht="15.5" hidden="1">
      <c r="A430" s="313">
        <v>5</v>
      </c>
      <c r="B430" s="314" t="s">
        <v>448</v>
      </c>
      <c r="C430" s="315">
        <f t="shared" si="159"/>
        <v>3.5</v>
      </c>
      <c r="D430" s="316">
        <v>0</v>
      </c>
      <c r="E430" s="315">
        <v>1.5</v>
      </c>
      <c r="F430" s="315">
        <v>1</v>
      </c>
      <c r="G430" s="315">
        <v>1</v>
      </c>
      <c r="H430" s="315"/>
      <c r="I430" s="249">
        <f t="shared" si="160"/>
        <v>1.8</v>
      </c>
      <c r="J430" s="240">
        <f t="shared" si="161"/>
        <v>0</v>
      </c>
      <c r="K430" s="196"/>
      <c r="L430" s="196"/>
      <c r="M430" s="196"/>
      <c r="N430" s="196"/>
      <c r="O430" s="196"/>
      <c r="P430" s="240">
        <f t="shared" si="162"/>
        <v>1.8</v>
      </c>
      <c r="Q430" s="196"/>
      <c r="R430" s="196"/>
      <c r="S430" s="196"/>
      <c r="T430" s="196">
        <v>1.8</v>
      </c>
      <c r="U430" s="196"/>
      <c r="V430" s="238">
        <f t="shared" si="163"/>
        <v>574.04039999999998</v>
      </c>
      <c r="W430" s="227">
        <f t="shared" si="164"/>
        <v>6.4030000000000005</v>
      </c>
      <c r="X430" s="237"/>
      <c r="Y430" s="237">
        <v>2.6320000000000001</v>
      </c>
      <c r="Z430" s="237">
        <v>3.7170000000000001</v>
      </c>
      <c r="AA430" s="237">
        <v>5.3999999999999999E-2</v>
      </c>
      <c r="AB430" s="237"/>
      <c r="AC430" s="227">
        <f t="shared" si="165"/>
        <v>0.5</v>
      </c>
      <c r="AD430" s="239">
        <f t="shared" si="166"/>
        <v>0</v>
      </c>
      <c r="AE430" s="237"/>
      <c r="AF430" s="237"/>
      <c r="AG430" s="237"/>
      <c r="AH430" s="237"/>
      <c r="AI430" s="237"/>
      <c r="AJ430" s="239">
        <f t="shared" si="167"/>
        <v>0.5</v>
      </c>
      <c r="AK430" s="237"/>
      <c r="AL430" s="237"/>
      <c r="AM430" s="237">
        <v>0.5</v>
      </c>
      <c r="AN430" s="237"/>
      <c r="AO430" s="237"/>
      <c r="AP430" s="196">
        <v>1053.2</v>
      </c>
      <c r="AQ430" s="334">
        <f t="shared" si="168"/>
        <v>1.8294285714285716</v>
      </c>
      <c r="AR430" s="207">
        <f t="shared" si="169"/>
        <v>0.27777777777777779</v>
      </c>
      <c r="AS430" s="196"/>
      <c r="AT430" s="196"/>
    </row>
    <row r="431" spans="1:46" ht="15.5" hidden="1">
      <c r="A431" s="313">
        <v>6</v>
      </c>
      <c r="B431" s="314" t="s">
        <v>449</v>
      </c>
      <c r="C431" s="315">
        <f t="shared" si="159"/>
        <v>5</v>
      </c>
      <c r="D431" s="316">
        <v>0</v>
      </c>
      <c r="E431" s="315">
        <v>2</v>
      </c>
      <c r="F431" s="315">
        <v>2</v>
      </c>
      <c r="G431" s="315">
        <v>1</v>
      </c>
      <c r="H431" s="316">
        <v>0</v>
      </c>
      <c r="I431" s="249">
        <f t="shared" si="160"/>
        <v>10.484</v>
      </c>
      <c r="J431" s="240">
        <f t="shared" si="161"/>
        <v>0.4</v>
      </c>
      <c r="K431" s="196">
        <v>0.4</v>
      </c>
      <c r="L431" s="196"/>
      <c r="M431" s="196"/>
      <c r="N431" s="196"/>
      <c r="O431" s="196"/>
      <c r="P431" s="240">
        <f t="shared" si="162"/>
        <v>10.084</v>
      </c>
      <c r="Q431" s="196">
        <v>6.2110000000000003</v>
      </c>
      <c r="R431" s="196">
        <v>3.8730000000000002</v>
      </c>
      <c r="S431" s="196"/>
      <c r="T431" s="196"/>
      <c r="U431" s="196"/>
      <c r="V431" s="238">
        <f t="shared" si="163"/>
        <v>1402.886538</v>
      </c>
      <c r="W431" s="227">
        <f t="shared" si="164"/>
        <v>1</v>
      </c>
      <c r="X431" s="237"/>
      <c r="Y431" s="237">
        <v>1</v>
      </c>
      <c r="Z431" s="237"/>
      <c r="AA431" s="237"/>
      <c r="AB431" s="237"/>
      <c r="AC431" s="227">
        <f t="shared" si="165"/>
        <v>0</v>
      </c>
      <c r="AD431" s="239">
        <f t="shared" si="166"/>
        <v>0</v>
      </c>
      <c r="AE431" s="237"/>
      <c r="AF431" s="237"/>
      <c r="AG431" s="237"/>
      <c r="AH431" s="237"/>
      <c r="AI431" s="237"/>
      <c r="AJ431" s="239">
        <f t="shared" si="167"/>
        <v>0</v>
      </c>
      <c r="AK431" s="237"/>
      <c r="AL431" s="237"/>
      <c r="AM431" s="237"/>
      <c r="AN431" s="237"/>
      <c r="AO431" s="237"/>
      <c r="AP431" s="196">
        <v>175.3</v>
      </c>
      <c r="AQ431" s="334">
        <f t="shared" si="168"/>
        <v>0.2</v>
      </c>
      <c r="AR431" s="207">
        <f t="shared" si="169"/>
        <v>0</v>
      </c>
      <c r="AS431" s="196"/>
      <c r="AT431" s="196"/>
    </row>
    <row r="432" spans="1:46" ht="15.5" hidden="1">
      <c r="A432" s="313">
        <v>7</v>
      </c>
      <c r="B432" s="314" t="s">
        <v>450</v>
      </c>
      <c r="C432" s="315">
        <f t="shared" si="159"/>
        <v>2.5</v>
      </c>
      <c r="D432" s="316">
        <v>0</v>
      </c>
      <c r="E432" s="315">
        <v>0.5</v>
      </c>
      <c r="F432" s="315">
        <v>2</v>
      </c>
      <c r="G432" s="316">
        <v>0</v>
      </c>
      <c r="H432" s="316">
        <v>0</v>
      </c>
      <c r="I432" s="249">
        <f t="shared" si="160"/>
        <v>3.2250000000000001</v>
      </c>
      <c r="J432" s="240">
        <f t="shared" si="161"/>
        <v>0</v>
      </c>
      <c r="K432" s="196"/>
      <c r="L432" s="196"/>
      <c r="M432" s="196"/>
      <c r="N432" s="196"/>
      <c r="O432" s="196"/>
      <c r="P432" s="240">
        <f t="shared" si="162"/>
        <v>3.2250000000000001</v>
      </c>
      <c r="Q432" s="196"/>
      <c r="R432" s="196"/>
      <c r="S432" s="196"/>
      <c r="T432" s="196">
        <v>3.2250000000000001</v>
      </c>
      <c r="U432" s="196"/>
      <c r="V432" s="238">
        <f t="shared" si="163"/>
        <v>473.07405</v>
      </c>
      <c r="W432" s="227">
        <f t="shared" si="164"/>
        <v>2.718</v>
      </c>
      <c r="X432" s="237"/>
      <c r="Y432" s="237">
        <v>0.16200000000000001</v>
      </c>
      <c r="Z432" s="237">
        <v>2.556</v>
      </c>
      <c r="AA432" s="237"/>
      <c r="AB432" s="237"/>
      <c r="AC432" s="227">
        <f t="shared" si="165"/>
        <v>0.59499999999999997</v>
      </c>
      <c r="AD432" s="239">
        <f t="shared" si="166"/>
        <v>0.39500000000000002</v>
      </c>
      <c r="AE432" s="237"/>
      <c r="AF432" s="237"/>
      <c r="AG432" s="237">
        <v>9.5000000000000001E-2</v>
      </c>
      <c r="AH432" s="237">
        <v>0.3</v>
      </c>
      <c r="AI432" s="237"/>
      <c r="AJ432" s="239">
        <f t="shared" si="167"/>
        <v>0.2</v>
      </c>
      <c r="AK432" s="237"/>
      <c r="AL432" s="237"/>
      <c r="AM432" s="237"/>
      <c r="AN432" s="237">
        <v>0.2</v>
      </c>
      <c r="AO432" s="237"/>
      <c r="AP432" s="196">
        <v>351.2</v>
      </c>
      <c r="AQ432" s="334">
        <f t="shared" si="168"/>
        <v>1.0871999999999999</v>
      </c>
      <c r="AR432" s="207">
        <f t="shared" si="169"/>
        <v>0.18449612403100774</v>
      </c>
      <c r="AS432" s="196"/>
      <c r="AT432" s="196"/>
    </row>
    <row r="433" spans="1:46" ht="15.5" hidden="1">
      <c r="A433" s="313">
        <v>8</v>
      </c>
      <c r="B433" s="314" t="s">
        <v>451</v>
      </c>
      <c r="C433" s="315">
        <f t="shared" si="159"/>
        <v>2.2999999999999998</v>
      </c>
      <c r="D433" s="316">
        <v>0</v>
      </c>
      <c r="E433" s="315">
        <v>0.3</v>
      </c>
      <c r="F433" s="315">
        <v>2</v>
      </c>
      <c r="G433" s="316">
        <v>0</v>
      </c>
      <c r="H433" s="316"/>
      <c r="I433" s="249">
        <f t="shared" si="160"/>
        <v>7.5</v>
      </c>
      <c r="J433" s="240">
        <f t="shared" si="161"/>
        <v>2</v>
      </c>
      <c r="K433" s="196">
        <v>2</v>
      </c>
      <c r="L433" s="196"/>
      <c r="M433" s="196"/>
      <c r="N433" s="196"/>
      <c r="O433" s="196"/>
      <c r="P433" s="240">
        <f t="shared" si="162"/>
        <v>5.5</v>
      </c>
      <c r="Q433" s="196"/>
      <c r="R433" s="196"/>
      <c r="S433" s="196">
        <v>5.5</v>
      </c>
      <c r="T433" s="196"/>
      <c r="U433" s="196"/>
      <c r="V433" s="238">
        <f t="shared" si="163"/>
        <v>858.8</v>
      </c>
      <c r="W433" s="227">
        <f t="shared" si="164"/>
        <v>5.27</v>
      </c>
      <c r="X433" s="237">
        <v>1</v>
      </c>
      <c r="Y433" s="237">
        <v>1.69</v>
      </c>
      <c r="Z433" s="237">
        <v>2.58</v>
      </c>
      <c r="AA433" s="237"/>
      <c r="AB433" s="237"/>
      <c r="AC433" s="227">
        <f t="shared" si="165"/>
        <v>2.4</v>
      </c>
      <c r="AD433" s="239">
        <f t="shared" si="166"/>
        <v>0</v>
      </c>
      <c r="AE433" s="237"/>
      <c r="AF433" s="237"/>
      <c r="AG433" s="237"/>
      <c r="AH433" s="237"/>
      <c r="AI433" s="237"/>
      <c r="AJ433" s="239">
        <f t="shared" si="167"/>
        <v>2.4</v>
      </c>
      <c r="AK433" s="237"/>
      <c r="AL433" s="237"/>
      <c r="AM433" s="237">
        <v>2.4</v>
      </c>
      <c r="AN433" s="237"/>
      <c r="AO433" s="237"/>
      <c r="AP433" s="196">
        <v>1021.7</v>
      </c>
      <c r="AQ433" s="334">
        <f t="shared" si="168"/>
        <v>2.2913043478260868</v>
      </c>
      <c r="AR433" s="207">
        <f t="shared" si="169"/>
        <v>0.32</v>
      </c>
      <c r="AS433" s="196"/>
      <c r="AT433" s="196"/>
    </row>
    <row r="434" spans="1:46" ht="15.5" hidden="1">
      <c r="A434" s="313">
        <v>9</v>
      </c>
      <c r="B434" s="314" t="s">
        <v>452</v>
      </c>
      <c r="C434" s="315">
        <f t="shared" si="159"/>
        <v>3</v>
      </c>
      <c r="D434" s="316">
        <v>0</v>
      </c>
      <c r="E434" s="315"/>
      <c r="F434" s="315">
        <v>1</v>
      </c>
      <c r="G434" s="315">
        <v>2</v>
      </c>
      <c r="H434" s="316">
        <v>0</v>
      </c>
      <c r="I434" s="249">
        <f t="shared" si="160"/>
        <v>4.49</v>
      </c>
      <c r="J434" s="240">
        <f t="shared" si="161"/>
        <v>0.72</v>
      </c>
      <c r="K434" s="196">
        <v>0.22</v>
      </c>
      <c r="L434" s="196">
        <v>0.5</v>
      </c>
      <c r="M434" s="196"/>
      <c r="N434" s="196"/>
      <c r="O434" s="196"/>
      <c r="P434" s="240">
        <f t="shared" si="162"/>
        <v>3.77</v>
      </c>
      <c r="Q434" s="196"/>
      <c r="R434" s="196">
        <v>1</v>
      </c>
      <c r="S434" s="196">
        <v>0.25</v>
      </c>
      <c r="T434" s="196">
        <v>2.52</v>
      </c>
      <c r="U434" s="196"/>
      <c r="V434" s="238">
        <f t="shared" si="163"/>
        <v>596.99565999999993</v>
      </c>
      <c r="W434" s="227">
        <f t="shared" si="164"/>
        <v>1.2</v>
      </c>
      <c r="X434" s="237"/>
      <c r="Y434" s="237"/>
      <c r="Z434" s="237">
        <v>1.2</v>
      </c>
      <c r="AA434" s="237"/>
      <c r="AB434" s="237"/>
      <c r="AC434" s="227">
        <f t="shared" si="165"/>
        <v>1.0069999999999999</v>
      </c>
      <c r="AD434" s="239">
        <f t="shared" si="166"/>
        <v>0</v>
      </c>
      <c r="AE434" s="237"/>
      <c r="AF434" s="237"/>
      <c r="AG434" s="237"/>
      <c r="AH434" s="237"/>
      <c r="AI434" s="237"/>
      <c r="AJ434" s="239">
        <f t="shared" si="167"/>
        <v>1.0069999999999999</v>
      </c>
      <c r="AK434" s="237">
        <v>0.29499999999999998</v>
      </c>
      <c r="AL434" s="237"/>
      <c r="AM434" s="237">
        <v>0.14000000000000001</v>
      </c>
      <c r="AN434" s="237">
        <v>0.57199999999999995</v>
      </c>
      <c r="AO434" s="237"/>
      <c r="AP434" s="196">
        <v>212.8</v>
      </c>
      <c r="AQ434" s="334">
        <f t="shared" si="168"/>
        <v>0.39999999999999997</v>
      </c>
      <c r="AR434" s="207">
        <f t="shared" si="169"/>
        <v>0.22427616926503338</v>
      </c>
      <c r="AS434" s="196"/>
      <c r="AT434" s="196"/>
    </row>
    <row r="435" spans="1:46" ht="15.5" hidden="1">
      <c r="A435" s="313">
        <v>10</v>
      </c>
      <c r="B435" s="314" t="s">
        <v>453</v>
      </c>
      <c r="C435" s="315">
        <f t="shared" si="159"/>
        <v>3.55</v>
      </c>
      <c r="D435" s="316">
        <v>0</v>
      </c>
      <c r="E435" s="315">
        <v>0.25</v>
      </c>
      <c r="F435" s="315">
        <v>1</v>
      </c>
      <c r="G435" s="315">
        <v>2</v>
      </c>
      <c r="H435" s="315">
        <v>0.3</v>
      </c>
      <c r="I435" s="249">
        <f t="shared" si="160"/>
        <v>1.88</v>
      </c>
      <c r="J435" s="240">
        <f t="shared" si="161"/>
        <v>1.3</v>
      </c>
      <c r="K435" s="196">
        <v>1.3</v>
      </c>
      <c r="L435" s="196"/>
      <c r="M435" s="196"/>
      <c r="N435" s="196"/>
      <c r="O435" s="196"/>
      <c r="P435" s="240">
        <f t="shared" si="162"/>
        <v>0.57999999999999996</v>
      </c>
      <c r="Q435" s="196"/>
      <c r="R435" s="196">
        <v>0.57999999999999996</v>
      </c>
      <c r="S435" s="196"/>
      <c r="T435" s="196"/>
      <c r="U435" s="196"/>
      <c r="V435" s="238">
        <f t="shared" si="163"/>
        <v>564.1774999999999</v>
      </c>
      <c r="W435" s="227">
        <f t="shared" si="164"/>
        <v>3.7</v>
      </c>
      <c r="X435" s="237"/>
      <c r="Y435" s="237"/>
      <c r="Z435" s="237">
        <v>0.7</v>
      </c>
      <c r="AA435" s="237">
        <v>2.8</v>
      </c>
      <c r="AB435" s="237">
        <v>0.2</v>
      </c>
      <c r="AC435" s="227">
        <f t="shared" si="165"/>
        <v>0</v>
      </c>
      <c r="AD435" s="239">
        <f t="shared" si="166"/>
        <v>0</v>
      </c>
      <c r="AE435" s="237"/>
      <c r="AF435" s="237"/>
      <c r="AG435" s="237"/>
      <c r="AH435" s="237"/>
      <c r="AI435" s="237"/>
      <c r="AJ435" s="239">
        <f t="shared" si="167"/>
        <v>0</v>
      </c>
      <c r="AK435" s="237"/>
      <c r="AL435" s="237"/>
      <c r="AM435" s="237"/>
      <c r="AN435" s="237"/>
      <c r="AO435" s="237"/>
      <c r="AP435" s="196">
        <v>501.1</v>
      </c>
      <c r="AQ435" s="334">
        <f t="shared" si="168"/>
        <v>1.0422535211267607</v>
      </c>
      <c r="AR435" s="207">
        <f t="shared" si="169"/>
        <v>0</v>
      </c>
      <c r="AS435" s="196"/>
      <c r="AT435" s="196"/>
    </row>
    <row r="436" spans="1:46" ht="15.5" hidden="1">
      <c r="A436" s="313">
        <v>11</v>
      </c>
      <c r="B436" s="314" t="s">
        <v>454</v>
      </c>
      <c r="C436" s="315">
        <f t="shared" si="159"/>
        <v>1</v>
      </c>
      <c r="D436" s="316">
        <v>0</v>
      </c>
      <c r="E436" s="316">
        <v>0</v>
      </c>
      <c r="F436" s="315">
        <v>0.1</v>
      </c>
      <c r="G436" s="315">
        <v>0.9</v>
      </c>
      <c r="H436" s="316">
        <v>0</v>
      </c>
      <c r="I436" s="249">
        <f t="shared" si="160"/>
        <v>1.6</v>
      </c>
      <c r="J436" s="240">
        <f t="shared" si="161"/>
        <v>0.4</v>
      </c>
      <c r="K436" s="196">
        <v>0.4</v>
      </c>
      <c r="L436" s="196"/>
      <c r="M436" s="196"/>
      <c r="N436" s="196"/>
      <c r="O436" s="196"/>
      <c r="P436" s="240">
        <f t="shared" si="162"/>
        <v>1.2</v>
      </c>
      <c r="Q436" s="196">
        <v>1.2</v>
      </c>
      <c r="R436" s="196"/>
      <c r="S436" s="196"/>
      <c r="T436" s="196"/>
      <c r="U436" s="196"/>
      <c r="V436" s="238">
        <f t="shared" si="163"/>
        <v>233.41160000000002</v>
      </c>
      <c r="W436" s="227">
        <f t="shared" si="164"/>
        <v>2.9</v>
      </c>
      <c r="X436" s="237"/>
      <c r="Y436" s="237"/>
      <c r="Z436" s="237">
        <v>0.9</v>
      </c>
      <c r="AA436" s="237">
        <v>2</v>
      </c>
      <c r="AB436" s="237"/>
      <c r="AC436" s="227">
        <f t="shared" si="165"/>
        <v>2.1</v>
      </c>
      <c r="AD436" s="239">
        <f t="shared" si="166"/>
        <v>0.4</v>
      </c>
      <c r="AE436" s="237">
        <v>0.4</v>
      </c>
      <c r="AF436" s="237"/>
      <c r="AG436" s="237"/>
      <c r="AH436" s="237"/>
      <c r="AI436" s="237"/>
      <c r="AJ436" s="239">
        <f t="shared" si="167"/>
        <v>1.7</v>
      </c>
      <c r="AK436" s="237">
        <v>1.7</v>
      </c>
      <c r="AL436" s="237"/>
      <c r="AM436" s="237"/>
      <c r="AN436" s="237"/>
      <c r="AO436" s="237"/>
      <c r="AP436" s="196">
        <v>621</v>
      </c>
      <c r="AQ436" s="334">
        <f t="shared" si="168"/>
        <v>2.9</v>
      </c>
      <c r="AR436" s="207">
        <f t="shared" si="169"/>
        <v>1.3125</v>
      </c>
      <c r="AS436" s="196"/>
      <c r="AT436" s="196"/>
    </row>
    <row r="437" spans="1:46" ht="15.5" hidden="1">
      <c r="A437" s="313">
        <v>12</v>
      </c>
      <c r="B437" s="314" t="s">
        <v>455</v>
      </c>
      <c r="C437" s="315">
        <f t="shared" si="159"/>
        <v>1.5</v>
      </c>
      <c r="D437" s="316"/>
      <c r="E437" s="315">
        <v>0.5</v>
      </c>
      <c r="F437" s="315">
        <v>0.5</v>
      </c>
      <c r="G437" s="315">
        <v>0.5</v>
      </c>
      <c r="H437" s="315"/>
      <c r="I437" s="249">
        <f t="shared" si="160"/>
        <v>0</v>
      </c>
      <c r="J437" s="240">
        <f t="shared" si="161"/>
        <v>0</v>
      </c>
      <c r="K437" s="196"/>
      <c r="L437" s="196"/>
      <c r="M437" s="196"/>
      <c r="N437" s="196"/>
      <c r="O437" s="196"/>
      <c r="P437" s="240">
        <f t="shared" si="162"/>
        <v>0</v>
      </c>
      <c r="Q437" s="196"/>
      <c r="R437" s="196"/>
      <c r="S437" s="196"/>
      <c r="T437" s="196"/>
      <c r="U437" s="196"/>
      <c r="V437" s="238">
        <f t="shared" si="163"/>
        <v>198.24</v>
      </c>
      <c r="W437" s="227">
        <f t="shared" si="164"/>
        <v>0</v>
      </c>
      <c r="X437" s="237"/>
      <c r="Y437" s="237"/>
      <c r="Z437" s="237"/>
      <c r="AA437" s="237"/>
      <c r="AB437" s="237"/>
      <c r="AC437" s="227">
        <f t="shared" si="165"/>
        <v>0</v>
      </c>
      <c r="AD437" s="239">
        <f t="shared" si="166"/>
        <v>0</v>
      </c>
      <c r="AE437" s="237"/>
      <c r="AF437" s="237"/>
      <c r="AG437" s="237"/>
      <c r="AH437" s="237"/>
      <c r="AI437" s="237"/>
      <c r="AJ437" s="239">
        <f t="shared" si="167"/>
        <v>0</v>
      </c>
      <c r="AK437" s="237"/>
      <c r="AL437" s="237"/>
      <c r="AM437" s="237"/>
      <c r="AN437" s="237"/>
      <c r="AO437" s="237"/>
      <c r="AP437" s="196"/>
      <c r="AQ437" s="334">
        <f t="shared" si="168"/>
        <v>0</v>
      </c>
      <c r="AR437" s="207" t="e">
        <f t="shared" si="169"/>
        <v>#DIV/0!</v>
      </c>
      <c r="AS437" s="196"/>
      <c r="AT437" s="196"/>
    </row>
    <row r="438" spans="1:46" ht="15.5" hidden="1">
      <c r="A438" s="313">
        <v>13</v>
      </c>
      <c r="B438" s="314" t="s">
        <v>456</v>
      </c>
      <c r="C438" s="315"/>
      <c r="D438" s="316"/>
      <c r="E438" s="315"/>
      <c r="F438" s="315"/>
      <c r="G438" s="315"/>
      <c r="H438" s="315"/>
      <c r="I438" s="249">
        <f t="shared" si="160"/>
        <v>0.5</v>
      </c>
      <c r="J438" s="240">
        <f t="shared" si="161"/>
        <v>0</v>
      </c>
      <c r="K438" s="196"/>
      <c r="L438" s="196"/>
      <c r="M438" s="196"/>
      <c r="N438" s="196"/>
      <c r="O438" s="196"/>
      <c r="P438" s="240">
        <f t="shared" si="162"/>
        <v>0.5</v>
      </c>
      <c r="Q438" s="196"/>
      <c r="R438" s="196"/>
      <c r="S438" s="196">
        <v>0.5</v>
      </c>
      <c r="T438" s="196"/>
      <c r="U438" s="196"/>
      <c r="V438" s="238">
        <f t="shared" si="163"/>
        <v>37.357999999999997</v>
      </c>
      <c r="W438" s="227">
        <f t="shared" si="164"/>
        <v>0.3</v>
      </c>
      <c r="X438" s="237"/>
      <c r="Y438" s="237"/>
      <c r="Z438" s="237">
        <v>0.3</v>
      </c>
      <c r="AA438" s="237"/>
      <c r="AB438" s="237"/>
      <c r="AC438" s="227">
        <f t="shared" si="165"/>
        <v>0</v>
      </c>
      <c r="AD438" s="239">
        <f t="shared" si="166"/>
        <v>0</v>
      </c>
      <c r="AE438" s="237"/>
      <c r="AF438" s="237"/>
      <c r="AG438" s="237"/>
      <c r="AH438" s="237"/>
      <c r="AI438" s="237"/>
      <c r="AJ438" s="239">
        <f t="shared" si="167"/>
        <v>0</v>
      </c>
      <c r="AK438" s="237"/>
      <c r="AL438" s="237"/>
      <c r="AM438" s="237"/>
      <c r="AN438" s="237"/>
      <c r="AO438" s="237"/>
      <c r="AP438" s="196">
        <v>37</v>
      </c>
      <c r="AQ438" s="334" t="e">
        <f t="shared" si="168"/>
        <v>#DIV/0!</v>
      </c>
      <c r="AR438" s="207">
        <f t="shared" si="169"/>
        <v>0</v>
      </c>
      <c r="AS438" s="196"/>
      <c r="AT438" s="196"/>
    </row>
    <row r="439" spans="1:46" hidden="1">
      <c r="A439" s="196"/>
      <c r="B439" s="241" t="s">
        <v>1</v>
      </c>
      <c r="C439" s="227">
        <f t="shared" ref="C439:H439" si="170">SUM(C426:C437)</f>
        <v>34.950000000000003</v>
      </c>
      <c r="D439" s="227">
        <f t="shared" si="170"/>
        <v>0</v>
      </c>
      <c r="E439" s="227">
        <f t="shared" si="170"/>
        <v>8.5500000000000007</v>
      </c>
      <c r="F439" s="227">
        <f t="shared" si="170"/>
        <v>12.6</v>
      </c>
      <c r="G439" s="227">
        <f t="shared" si="170"/>
        <v>13.4</v>
      </c>
      <c r="H439" s="227">
        <f t="shared" si="170"/>
        <v>0.4</v>
      </c>
      <c r="I439" s="227">
        <f t="shared" ref="I439:AP439" si="171">SUM(I426:I438)</f>
        <v>42.129000000000012</v>
      </c>
      <c r="J439" s="227">
        <f t="shared" si="171"/>
        <v>8.82</v>
      </c>
      <c r="K439" s="227">
        <f t="shared" si="171"/>
        <v>6.92</v>
      </c>
      <c r="L439" s="227">
        <f t="shared" si="171"/>
        <v>1.9</v>
      </c>
      <c r="M439" s="227">
        <f t="shared" si="171"/>
        <v>0</v>
      </c>
      <c r="N439" s="227">
        <f t="shared" si="171"/>
        <v>0</v>
      </c>
      <c r="O439" s="227">
        <f t="shared" si="171"/>
        <v>0</v>
      </c>
      <c r="P439" s="227">
        <f t="shared" si="171"/>
        <v>33.308999999999997</v>
      </c>
      <c r="Q439" s="227">
        <f t="shared" si="171"/>
        <v>7.4110000000000005</v>
      </c>
      <c r="R439" s="227">
        <f t="shared" si="171"/>
        <v>5.4530000000000003</v>
      </c>
      <c r="S439" s="227">
        <f t="shared" si="171"/>
        <v>9.5500000000000007</v>
      </c>
      <c r="T439" s="227">
        <f t="shared" si="171"/>
        <v>10.895</v>
      </c>
      <c r="U439" s="227">
        <f t="shared" si="171"/>
        <v>0</v>
      </c>
      <c r="V439" s="242">
        <f t="shared" si="171"/>
        <v>7303.4410479999997</v>
      </c>
      <c r="W439" s="227">
        <f t="shared" si="171"/>
        <v>34.912999999999997</v>
      </c>
      <c r="X439" s="227">
        <f t="shared" si="171"/>
        <v>1</v>
      </c>
      <c r="Y439" s="227">
        <f t="shared" si="171"/>
        <v>8.4960000000000004</v>
      </c>
      <c r="Z439" s="227">
        <f t="shared" si="171"/>
        <v>16.545999999999999</v>
      </c>
      <c r="AA439" s="227">
        <f t="shared" si="171"/>
        <v>8.6709999999999994</v>
      </c>
      <c r="AB439" s="227">
        <f t="shared" si="171"/>
        <v>0.2</v>
      </c>
      <c r="AC439" s="227">
        <f t="shared" si="171"/>
        <v>10.601999999999999</v>
      </c>
      <c r="AD439" s="227">
        <f t="shared" si="171"/>
        <v>0.79500000000000004</v>
      </c>
      <c r="AE439" s="227">
        <f t="shared" si="171"/>
        <v>0.4</v>
      </c>
      <c r="AF439" s="227">
        <f t="shared" si="171"/>
        <v>0</v>
      </c>
      <c r="AG439" s="227">
        <f t="shared" si="171"/>
        <v>9.5000000000000001E-2</v>
      </c>
      <c r="AH439" s="227">
        <f t="shared" si="171"/>
        <v>0.3</v>
      </c>
      <c r="AI439" s="227">
        <f t="shared" si="171"/>
        <v>0</v>
      </c>
      <c r="AJ439" s="227">
        <f t="shared" si="171"/>
        <v>9.8069999999999986</v>
      </c>
      <c r="AK439" s="227">
        <f t="shared" si="171"/>
        <v>1.9949999999999999</v>
      </c>
      <c r="AL439" s="227">
        <f t="shared" si="171"/>
        <v>0</v>
      </c>
      <c r="AM439" s="227">
        <f t="shared" si="171"/>
        <v>7.04</v>
      </c>
      <c r="AN439" s="227">
        <f t="shared" si="171"/>
        <v>0.77200000000000002</v>
      </c>
      <c r="AO439" s="227">
        <f t="shared" si="171"/>
        <v>0</v>
      </c>
      <c r="AP439" s="227">
        <f t="shared" si="171"/>
        <v>5744.2000000000007</v>
      </c>
      <c r="AQ439" s="332">
        <f t="shared" si="168"/>
        <v>0.99894134477825447</v>
      </c>
      <c r="AR439" s="226">
        <f t="shared" si="169"/>
        <v>0.25165562913907275</v>
      </c>
      <c r="AS439" s="227">
        <f>SUM(AS426:AS438)</f>
        <v>0</v>
      </c>
      <c r="AT439" s="227">
        <f>SUM(AT426:AT438)</f>
        <v>0</v>
      </c>
    </row>
    <row r="440" spans="1:46" hidden="1">
      <c r="W440" s="273"/>
      <c r="X440" s="273"/>
      <c r="Y440" s="273"/>
      <c r="Z440" s="273"/>
      <c r="AA440" s="273"/>
      <c r="AB440" s="273"/>
      <c r="AC440" s="273"/>
      <c r="AD440" s="273"/>
      <c r="AE440" s="273"/>
      <c r="AF440" s="273"/>
      <c r="AG440" s="273"/>
      <c r="AH440" s="273"/>
      <c r="AI440" s="273"/>
      <c r="AJ440" s="273"/>
      <c r="AK440" s="273"/>
      <c r="AL440" s="273"/>
      <c r="AM440" s="273"/>
      <c r="AN440" s="273"/>
      <c r="AO440" s="273"/>
      <c r="AP440" s="273"/>
      <c r="AQ440" s="336"/>
      <c r="AR440" s="273"/>
      <c r="AS440" s="273"/>
      <c r="AT440" s="273"/>
    </row>
    <row r="441" spans="1:46" hidden="1"/>
    <row r="442" spans="1:46" hidden="1">
      <c r="B442" s="538" t="s">
        <v>190</v>
      </c>
      <c r="C442" s="539"/>
      <c r="D442" s="539"/>
      <c r="E442" s="539"/>
      <c r="F442" s="539"/>
      <c r="V442" s="173" t="s">
        <v>191</v>
      </c>
      <c r="W442" s="174"/>
      <c r="X442" s="174"/>
      <c r="Y442" s="174"/>
      <c r="Z442" s="174"/>
      <c r="AA442" s="174"/>
      <c r="AB442" s="174"/>
      <c r="AC442" s="174"/>
      <c r="AD442" s="174"/>
      <c r="AE442" s="174"/>
      <c r="AF442" s="174"/>
      <c r="AG442" s="174"/>
      <c r="AH442" s="174"/>
      <c r="AI442" s="174"/>
      <c r="AJ442" s="174"/>
      <c r="AK442" s="174"/>
      <c r="AL442" s="174"/>
      <c r="AM442" s="174"/>
      <c r="AN442" s="174"/>
      <c r="AO442" s="174"/>
      <c r="AP442" s="174"/>
      <c r="AQ442" s="331"/>
    </row>
    <row r="443" spans="1:46" hidden="1">
      <c r="B443" s="538" t="s">
        <v>457</v>
      </c>
      <c r="C443" s="539"/>
      <c r="D443" s="539"/>
      <c r="E443" s="539"/>
      <c r="F443" s="539"/>
      <c r="V443" s="173" t="s">
        <v>193</v>
      </c>
      <c r="W443" s="174"/>
      <c r="X443" s="174"/>
      <c r="Y443" s="174"/>
      <c r="Z443" s="174"/>
      <c r="AA443" s="174"/>
      <c r="AB443" s="174"/>
      <c r="AC443" s="174"/>
      <c r="AD443" s="174"/>
      <c r="AE443" s="174"/>
      <c r="AF443" s="174"/>
      <c r="AG443" s="174"/>
      <c r="AH443" s="174"/>
      <c r="AI443" s="174"/>
      <c r="AJ443" s="174"/>
      <c r="AK443" s="174"/>
      <c r="AL443" s="174"/>
      <c r="AM443" s="174"/>
      <c r="AN443" s="174"/>
      <c r="AO443" s="174"/>
      <c r="AP443" s="174"/>
      <c r="AQ443" s="331"/>
    </row>
    <row r="444" spans="1:46" hidden="1">
      <c r="B444" s="172"/>
      <c r="C444" s="172"/>
      <c r="D444" s="172"/>
      <c r="E444" s="172"/>
      <c r="F444" s="172"/>
      <c r="V444" s="173"/>
      <c r="W444" s="174"/>
      <c r="X444" s="174"/>
      <c r="Y444" s="174"/>
      <c r="Z444" s="174"/>
      <c r="AA444" s="174"/>
      <c r="AB444" s="174"/>
      <c r="AC444" s="174"/>
      <c r="AD444" s="174"/>
      <c r="AE444" s="174"/>
      <c r="AF444" s="174"/>
      <c r="AG444" s="174"/>
      <c r="AH444" s="174"/>
      <c r="AI444" s="174"/>
      <c r="AJ444" s="174"/>
      <c r="AK444" s="174"/>
      <c r="AL444" s="174"/>
      <c r="AM444" s="174"/>
      <c r="AN444" s="174"/>
      <c r="AO444" s="174"/>
      <c r="AP444" s="174"/>
      <c r="AQ444" s="331"/>
    </row>
    <row r="445" spans="1:46" hidden="1">
      <c r="A445" s="542" t="str">
        <f>A383</f>
        <v>Biểu 5: KẾT QUẢ THỰC HIỆN KẾ HOẠCH LÀM ĐƯỜNG GTNT, RÃNH THOÁT NƯỚC THEO CƠ CHẾ HỖ TRỢ XI MĂNG ĐẾN NGÀY 19/12/2016</v>
      </c>
      <c r="B445" s="542"/>
      <c r="C445" s="542"/>
      <c r="D445" s="542"/>
      <c r="E445" s="542"/>
      <c r="F445" s="542"/>
      <c r="G445" s="542"/>
      <c r="H445" s="542"/>
      <c r="I445" s="542"/>
      <c r="J445" s="542"/>
      <c r="K445" s="542"/>
      <c r="L445" s="542"/>
      <c r="M445" s="542"/>
      <c r="N445" s="542"/>
      <c r="O445" s="542"/>
      <c r="P445" s="542"/>
      <c r="Q445" s="542"/>
      <c r="R445" s="542"/>
      <c r="S445" s="542"/>
      <c r="T445" s="542"/>
      <c r="U445" s="542"/>
      <c r="V445" s="542"/>
      <c r="W445" s="542"/>
      <c r="X445" s="542"/>
      <c r="Y445" s="542"/>
      <c r="Z445" s="542"/>
      <c r="AA445" s="542"/>
      <c r="AB445" s="542"/>
      <c r="AC445" s="542"/>
      <c r="AD445" s="542"/>
      <c r="AE445" s="542"/>
      <c r="AF445" s="542"/>
      <c r="AG445" s="542"/>
      <c r="AH445" s="542"/>
      <c r="AI445" s="542"/>
      <c r="AJ445" s="542"/>
      <c r="AK445" s="542"/>
      <c r="AL445" s="542"/>
      <c r="AM445" s="542"/>
      <c r="AN445" s="542"/>
      <c r="AO445" s="542"/>
      <c r="AP445" s="542"/>
      <c r="AQ445" s="542"/>
      <c r="AR445" s="542"/>
      <c r="AS445" s="542"/>
      <c r="AT445" s="542"/>
    </row>
    <row r="446" spans="1:46" hidden="1">
      <c r="A446" s="543"/>
      <c r="B446" s="543"/>
      <c r="C446" s="543"/>
      <c r="D446" s="543"/>
      <c r="E446" s="543"/>
      <c r="F446" s="543"/>
      <c r="G446" s="543"/>
      <c r="H446" s="543"/>
      <c r="I446" s="543"/>
      <c r="J446" s="543"/>
      <c r="K446" s="543"/>
      <c r="L446" s="543"/>
      <c r="M446" s="543"/>
      <c r="N446" s="543"/>
      <c r="O446" s="543"/>
      <c r="P446" s="543"/>
      <c r="Q446" s="543"/>
      <c r="R446" s="543"/>
      <c r="S446" s="543"/>
      <c r="T446" s="543"/>
      <c r="U446" s="543"/>
      <c r="V446" s="543"/>
      <c r="W446" s="543"/>
      <c r="X446" s="543"/>
      <c r="Y446" s="543"/>
      <c r="Z446" s="543"/>
      <c r="AA446" s="543"/>
      <c r="AB446" s="543"/>
      <c r="AC446" s="543"/>
      <c r="AD446" s="543"/>
      <c r="AE446" s="543"/>
      <c r="AF446" s="543"/>
      <c r="AG446" s="543"/>
      <c r="AH446" s="543"/>
      <c r="AI446" s="543"/>
      <c r="AJ446" s="543"/>
      <c r="AK446" s="543"/>
      <c r="AL446" s="543"/>
      <c r="AM446" s="543"/>
      <c r="AN446" s="543"/>
      <c r="AO446" s="543"/>
      <c r="AP446" s="543"/>
      <c r="AQ446" s="543"/>
      <c r="AR446" s="543"/>
      <c r="AS446" s="543"/>
      <c r="AT446" s="543"/>
    </row>
    <row r="447" spans="1:46" hidden="1">
      <c r="A447" s="544" t="s">
        <v>0</v>
      </c>
      <c r="B447" s="533" t="s">
        <v>161</v>
      </c>
      <c r="C447" s="546" t="s">
        <v>162</v>
      </c>
      <c r="D447" s="546"/>
      <c r="E447" s="546"/>
      <c r="F447" s="546"/>
      <c r="G447" s="546"/>
      <c r="H447" s="546"/>
      <c r="I447" s="546"/>
      <c r="J447" s="546"/>
      <c r="K447" s="546"/>
      <c r="L447" s="546"/>
      <c r="M447" s="546"/>
      <c r="N447" s="546"/>
      <c r="O447" s="546"/>
      <c r="P447" s="546"/>
      <c r="Q447" s="546"/>
      <c r="R447" s="546"/>
      <c r="S447" s="546"/>
      <c r="T447" s="546"/>
      <c r="U447" s="546"/>
      <c r="V447" s="546"/>
      <c r="W447" s="547" t="s">
        <v>163</v>
      </c>
      <c r="X447" s="547"/>
      <c r="Y447" s="547"/>
      <c r="Z447" s="547"/>
      <c r="AA447" s="547"/>
      <c r="AB447" s="547"/>
      <c r="AC447" s="547"/>
      <c r="AD447" s="547"/>
      <c r="AE447" s="547"/>
      <c r="AF447" s="547"/>
      <c r="AG447" s="547"/>
      <c r="AH447" s="547"/>
      <c r="AI447" s="547"/>
      <c r="AJ447" s="547"/>
      <c r="AK447" s="547"/>
      <c r="AL447" s="547"/>
      <c r="AM447" s="547"/>
      <c r="AN447" s="547"/>
      <c r="AO447" s="547"/>
      <c r="AP447" s="547"/>
      <c r="AQ447" s="547" t="s">
        <v>164</v>
      </c>
      <c r="AR447" s="547"/>
      <c r="AS447" s="547" t="s">
        <v>165</v>
      </c>
      <c r="AT447" s="547"/>
    </row>
    <row r="448" spans="1:46" hidden="1">
      <c r="A448" s="545"/>
      <c r="B448" s="534"/>
      <c r="C448" s="533" t="s">
        <v>166</v>
      </c>
      <c r="D448" s="536" t="s">
        <v>167</v>
      </c>
      <c r="E448" s="536"/>
      <c r="F448" s="536"/>
      <c r="G448" s="536"/>
      <c r="H448" s="536"/>
      <c r="I448" s="533" t="s">
        <v>168</v>
      </c>
      <c r="J448" s="537" t="s">
        <v>167</v>
      </c>
      <c r="K448" s="537"/>
      <c r="L448" s="537"/>
      <c r="M448" s="537"/>
      <c r="N448" s="537"/>
      <c r="O448" s="537"/>
      <c r="P448" s="537"/>
      <c r="Q448" s="537"/>
      <c r="R448" s="537"/>
      <c r="S448" s="537"/>
      <c r="T448" s="537"/>
      <c r="U448" s="537"/>
      <c r="V448" s="552" t="s">
        <v>169</v>
      </c>
      <c r="W448" s="533" t="s">
        <v>170</v>
      </c>
      <c r="X448" s="555" t="s">
        <v>167</v>
      </c>
      <c r="Y448" s="555"/>
      <c r="Z448" s="555"/>
      <c r="AA448" s="555"/>
      <c r="AB448" s="555"/>
      <c r="AC448" s="533" t="s">
        <v>168</v>
      </c>
      <c r="AD448" s="537" t="s">
        <v>167</v>
      </c>
      <c r="AE448" s="537"/>
      <c r="AF448" s="537"/>
      <c r="AG448" s="537"/>
      <c r="AH448" s="537"/>
      <c r="AI448" s="537"/>
      <c r="AJ448" s="537"/>
      <c r="AK448" s="537"/>
      <c r="AL448" s="537"/>
      <c r="AM448" s="537"/>
      <c r="AN448" s="537"/>
      <c r="AO448" s="537"/>
      <c r="AP448" s="552" t="s">
        <v>171</v>
      </c>
      <c r="AQ448" s="548" t="s">
        <v>172</v>
      </c>
      <c r="AR448" s="548" t="s">
        <v>173</v>
      </c>
      <c r="AS448" s="548" t="s">
        <v>170</v>
      </c>
      <c r="AT448" s="548" t="s">
        <v>168</v>
      </c>
    </row>
    <row r="449" spans="1:46" hidden="1">
      <c r="A449" s="545"/>
      <c r="B449" s="534"/>
      <c r="C449" s="534"/>
      <c r="D449" s="552" t="s">
        <v>174</v>
      </c>
      <c r="E449" s="552" t="s">
        <v>175</v>
      </c>
      <c r="F449" s="552" t="s">
        <v>176</v>
      </c>
      <c r="G449" s="552" t="s">
        <v>177</v>
      </c>
      <c r="H449" s="552" t="s">
        <v>178</v>
      </c>
      <c r="I449" s="534"/>
      <c r="J449" s="537" t="s">
        <v>179</v>
      </c>
      <c r="K449" s="537"/>
      <c r="L449" s="537"/>
      <c r="M449" s="537"/>
      <c r="N449" s="537"/>
      <c r="O449" s="537"/>
      <c r="P449" s="537" t="s">
        <v>180</v>
      </c>
      <c r="Q449" s="537"/>
      <c r="R449" s="537"/>
      <c r="S449" s="537"/>
      <c r="T449" s="537"/>
      <c r="U449" s="537"/>
      <c r="V449" s="553"/>
      <c r="W449" s="534"/>
      <c r="X449" s="552" t="s">
        <v>174</v>
      </c>
      <c r="Y449" s="552" t="s">
        <v>175</v>
      </c>
      <c r="Z449" s="552" t="s">
        <v>176</v>
      </c>
      <c r="AA449" s="552" t="s">
        <v>177</v>
      </c>
      <c r="AB449" s="552" t="s">
        <v>178</v>
      </c>
      <c r="AC449" s="534"/>
      <c r="AD449" s="537" t="s">
        <v>179</v>
      </c>
      <c r="AE449" s="537"/>
      <c r="AF449" s="537"/>
      <c r="AG449" s="537"/>
      <c r="AH449" s="537"/>
      <c r="AI449" s="537"/>
      <c r="AJ449" s="537" t="s">
        <v>180</v>
      </c>
      <c r="AK449" s="537"/>
      <c r="AL449" s="537"/>
      <c r="AM449" s="537"/>
      <c r="AN449" s="537"/>
      <c r="AO449" s="537"/>
      <c r="AP449" s="553"/>
      <c r="AQ449" s="549"/>
      <c r="AR449" s="549"/>
      <c r="AS449" s="549"/>
      <c r="AT449" s="549"/>
    </row>
    <row r="450" spans="1:46" ht="15.5" hidden="1">
      <c r="A450" s="179"/>
      <c r="B450" s="534"/>
      <c r="C450" s="534"/>
      <c r="D450" s="553"/>
      <c r="E450" s="553"/>
      <c r="F450" s="553"/>
      <c r="G450" s="553"/>
      <c r="H450" s="553"/>
      <c r="I450" s="534"/>
      <c r="J450" s="556" t="s">
        <v>1</v>
      </c>
      <c r="K450" s="551" t="s">
        <v>181</v>
      </c>
      <c r="L450" s="551"/>
      <c r="M450" s="551" t="s">
        <v>182</v>
      </c>
      <c r="N450" s="551"/>
      <c r="O450" s="551" t="s">
        <v>183</v>
      </c>
      <c r="P450" s="556" t="s">
        <v>1</v>
      </c>
      <c r="Q450" s="551" t="s">
        <v>181</v>
      </c>
      <c r="R450" s="551"/>
      <c r="S450" s="551" t="s">
        <v>182</v>
      </c>
      <c r="T450" s="551"/>
      <c r="U450" s="551" t="s">
        <v>183</v>
      </c>
      <c r="V450" s="553"/>
      <c r="W450" s="534"/>
      <c r="X450" s="553"/>
      <c r="Y450" s="553"/>
      <c r="Z450" s="553"/>
      <c r="AA450" s="553"/>
      <c r="AB450" s="553"/>
      <c r="AC450" s="534"/>
      <c r="AD450" s="556" t="s">
        <v>1</v>
      </c>
      <c r="AE450" s="551" t="s">
        <v>181</v>
      </c>
      <c r="AF450" s="551"/>
      <c r="AG450" s="551" t="s">
        <v>182</v>
      </c>
      <c r="AH450" s="551"/>
      <c r="AI450" s="551" t="s">
        <v>183</v>
      </c>
      <c r="AJ450" s="556" t="s">
        <v>1</v>
      </c>
      <c r="AK450" s="551" t="s">
        <v>181</v>
      </c>
      <c r="AL450" s="551"/>
      <c r="AM450" s="551" t="s">
        <v>182</v>
      </c>
      <c r="AN450" s="551"/>
      <c r="AO450" s="551" t="s">
        <v>183</v>
      </c>
      <c r="AP450" s="553"/>
      <c r="AQ450" s="549"/>
      <c r="AR450" s="549"/>
      <c r="AS450" s="549"/>
      <c r="AT450" s="549"/>
    </row>
    <row r="451" spans="1:46" ht="46.5" hidden="1">
      <c r="A451" s="179"/>
      <c r="B451" s="535"/>
      <c r="C451" s="535"/>
      <c r="D451" s="554"/>
      <c r="E451" s="554"/>
      <c r="F451" s="554"/>
      <c r="G451" s="554"/>
      <c r="H451" s="554"/>
      <c r="I451" s="535"/>
      <c r="J451" s="557"/>
      <c r="K451" s="186" t="s">
        <v>184</v>
      </c>
      <c r="L451" s="186" t="s">
        <v>185</v>
      </c>
      <c r="M451" s="186" t="s">
        <v>184</v>
      </c>
      <c r="N451" s="186" t="s">
        <v>185</v>
      </c>
      <c r="O451" s="551"/>
      <c r="P451" s="557"/>
      <c r="Q451" s="186" t="s">
        <v>184</v>
      </c>
      <c r="R451" s="186" t="s">
        <v>185</v>
      </c>
      <c r="S451" s="186" t="s">
        <v>184</v>
      </c>
      <c r="T451" s="186" t="s">
        <v>185</v>
      </c>
      <c r="U451" s="551"/>
      <c r="V451" s="554"/>
      <c r="W451" s="535"/>
      <c r="X451" s="554"/>
      <c r="Y451" s="554"/>
      <c r="Z451" s="554"/>
      <c r="AA451" s="554"/>
      <c r="AB451" s="554"/>
      <c r="AC451" s="535"/>
      <c r="AD451" s="557"/>
      <c r="AE451" s="186" t="s">
        <v>184</v>
      </c>
      <c r="AF451" s="186" t="s">
        <v>185</v>
      </c>
      <c r="AG451" s="186" t="s">
        <v>184</v>
      </c>
      <c r="AH451" s="186" t="s">
        <v>185</v>
      </c>
      <c r="AI451" s="551"/>
      <c r="AJ451" s="557"/>
      <c r="AK451" s="186" t="s">
        <v>184</v>
      </c>
      <c r="AL451" s="186" t="s">
        <v>185</v>
      </c>
      <c r="AM451" s="186" t="s">
        <v>184</v>
      </c>
      <c r="AN451" s="186" t="s">
        <v>185</v>
      </c>
      <c r="AO451" s="551"/>
      <c r="AP451" s="554"/>
      <c r="AQ451" s="550"/>
      <c r="AR451" s="550"/>
      <c r="AS451" s="550"/>
      <c r="AT451" s="550"/>
    </row>
    <row r="452" spans="1:46" ht="15.5" hidden="1">
      <c r="A452" s="177" t="s">
        <v>25</v>
      </c>
      <c r="B452" s="178" t="s">
        <v>215</v>
      </c>
      <c r="C452" s="183"/>
      <c r="D452" s="181"/>
      <c r="E452" s="181"/>
      <c r="F452" s="181"/>
      <c r="G452" s="181"/>
      <c r="H452" s="181"/>
      <c r="I452" s="183"/>
      <c r="J452" s="185"/>
      <c r="K452" s="186"/>
      <c r="L452" s="186"/>
      <c r="M452" s="186"/>
      <c r="N452" s="186"/>
      <c r="O452" s="182"/>
      <c r="P452" s="185"/>
      <c r="Q452" s="186"/>
      <c r="R452" s="186"/>
      <c r="S452" s="186"/>
      <c r="T452" s="186"/>
      <c r="U452" s="182"/>
      <c r="V452" s="184"/>
      <c r="W452" s="183"/>
      <c r="X452" s="184"/>
      <c r="Y452" s="184"/>
      <c r="Z452" s="184"/>
      <c r="AA452" s="184"/>
      <c r="AB452" s="184"/>
      <c r="AC452" s="183"/>
      <c r="AD452" s="185"/>
      <c r="AE452" s="186"/>
      <c r="AF452" s="186"/>
      <c r="AG452" s="186"/>
      <c r="AH452" s="186"/>
      <c r="AI452" s="182"/>
      <c r="AJ452" s="185"/>
      <c r="AK452" s="186"/>
      <c r="AL452" s="186"/>
      <c r="AM452" s="186"/>
      <c r="AN452" s="186"/>
      <c r="AO452" s="182"/>
      <c r="AP452" s="184"/>
      <c r="AQ452" s="187"/>
      <c r="AR452" s="187"/>
      <c r="AS452" s="187"/>
      <c r="AT452" s="187"/>
    </row>
    <row r="453" spans="1:46" ht="18" hidden="1">
      <c r="A453" s="317">
        <v>1</v>
      </c>
      <c r="B453" s="318" t="s">
        <v>458</v>
      </c>
      <c r="C453" s="319">
        <f t="shared" ref="C453:C458" si="172">SUM(D453:H453)</f>
        <v>3.7959999999999998</v>
      </c>
      <c r="D453" s="304"/>
      <c r="E453" s="304">
        <v>0.54300000000000004</v>
      </c>
      <c r="F453" s="304">
        <v>1.7529999999999999</v>
      </c>
      <c r="G453" s="304">
        <v>1.5</v>
      </c>
      <c r="H453" s="304"/>
      <c r="I453" s="249">
        <f t="shared" ref="I453:I458" si="173">J453+P453</f>
        <v>1.2829999999999999</v>
      </c>
      <c r="J453" s="240">
        <f t="shared" ref="J453:J458" si="174">SUM(K453:O453)</f>
        <v>0</v>
      </c>
      <c r="K453" s="196"/>
      <c r="L453" s="196"/>
      <c r="M453" s="196"/>
      <c r="N453" s="196"/>
      <c r="O453" s="196"/>
      <c r="P453" s="240">
        <f t="shared" ref="P453:P458" si="175">SUM(Q453:U453)</f>
        <v>1.2829999999999999</v>
      </c>
      <c r="Q453" s="196"/>
      <c r="R453" s="196"/>
      <c r="S453" s="196"/>
      <c r="T453" s="196">
        <v>1.2829999999999999</v>
      </c>
      <c r="U453" s="196"/>
      <c r="V453" s="238">
        <f t="shared" ref="V453:V458" si="176">D453*194.67+E453*173.04+F453*111.72+G453*111.72+H453*127.68+K453*86.255+L453*71.648+M453*84.489+N453*58.258+O453*53.065+Q453*72.658+R453*60.9+S453*74.716+T453*50.578+U453*46.62</f>
        <v>522.27745400000003</v>
      </c>
      <c r="W453" s="227">
        <f t="shared" ref="W453:W458" si="177">SUM(X453:AB453)</f>
        <v>4.641</v>
      </c>
      <c r="X453" s="320"/>
      <c r="Y453" s="320">
        <v>0.89300000000000002</v>
      </c>
      <c r="Z453" s="321">
        <v>2.5609999999999999</v>
      </c>
      <c r="AA453" s="321">
        <v>1.1870000000000001</v>
      </c>
      <c r="AB453" s="320"/>
      <c r="AC453" s="227">
        <f t="shared" ref="AC453:AC458" si="178">AD453+AJ453</f>
        <v>0.5</v>
      </c>
      <c r="AD453" s="239">
        <f t="shared" ref="AD453:AD458" si="179">SUM(AE453:AI453)</f>
        <v>0</v>
      </c>
      <c r="AE453" s="237"/>
      <c r="AF453" s="237"/>
      <c r="AG453" s="237"/>
      <c r="AH453" s="237"/>
      <c r="AI453" s="237"/>
      <c r="AJ453" s="239">
        <f t="shared" ref="AJ453:AJ458" si="180">SUM(AK453:AO453)</f>
        <v>0.5</v>
      </c>
      <c r="AK453" s="322"/>
      <c r="AL453" s="322"/>
      <c r="AM453" s="322"/>
      <c r="AN453" s="322">
        <v>0.5</v>
      </c>
      <c r="AO453" s="322"/>
      <c r="AP453" s="320">
        <v>725.6</v>
      </c>
      <c r="AQ453" s="334">
        <f t="shared" ref="AQ453:AQ458" si="181">W453/C453</f>
        <v>1.2226027397260275</v>
      </c>
      <c r="AR453" s="207">
        <f>AC453/I453</f>
        <v>0.38971161340607952</v>
      </c>
      <c r="AS453" s="196"/>
      <c r="AT453" s="196"/>
    </row>
    <row r="454" spans="1:46" ht="18" hidden="1">
      <c r="A454" s="317">
        <v>2</v>
      </c>
      <c r="B454" s="318" t="s">
        <v>459</v>
      </c>
      <c r="C454" s="319">
        <f t="shared" si="172"/>
        <v>1.02</v>
      </c>
      <c r="D454" s="304"/>
      <c r="E454" s="304"/>
      <c r="F454" s="304">
        <v>1.02</v>
      </c>
      <c r="G454" s="304"/>
      <c r="H454" s="304"/>
      <c r="I454" s="249">
        <f t="shared" si="173"/>
        <v>0</v>
      </c>
      <c r="J454" s="240">
        <f t="shared" si="174"/>
        <v>0</v>
      </c>
      <c r="K454" s="196"/>
      <c r="L454" s="196"/>
      <c r="M454" s="196"/>
      <c r="N454" s="196"/>
      <c r="O454" s="196"/>
      <c r="P454" s="240">
        <f t="shared" si="175"/>
        <v>0</v>
      </c>
      <c r="Q454" s="196"/>
      <c r="R454" s="196"/>
      <c r="S454" s="196"/>
      <c r="T454" s="196"/>
      <c r="U454" s="196"/>
      <c r="V454" s="238">
        <f t="shared" si="176"/>
        <v>113.95440000000001</v>
      </c>
      <c r="W454" s="227">
        <f t="shared" si="177"/>
        <v>0.64</v>
      </c>
      <c r="X454" s="320"/>
      <c r="Y454" s="320"/>
      <c r="Z454" s="321">
        <v>0.64</v>
      </c>
      <c r="AA454" s="321"/>
      <c r="AB454" s="320"/>
      <c r="AC454" s="227">
        <f t="shared" si="178"/>
        <v>0</v>
      </c>
      <c r="AD454" s="239">
        <f t="shared" si="179"/>
        <v>0</v>
      </c>
      <c r="AE454" s="237"/>
      <c r="AF454" s="237"/>
      <c r="AG454" s="237"/>
      <c r="AH454" s="237"/>
      <c r="AI454" s="237"/>
      <c r="AJ454" s="239">
        <f t="shared" si="180"/>
        <v>0</v>
      </c>
      <c r="AK454" s="322"/>
      <c r="AL454" s="322"/>
      <c r="AM454" s="322"/>
      <c r="AN454" s="322"/>
      <c r="AO454" s="322"/>
      <c r="AP454" s="320">
        <v>85</v>
      </c>
      <c r="AQ454" s="334">
        <f t="shared" si="181"/>
        <v>0.62745098039215685</v>
      </c>
      <c r="AR454" s="207"/>
      <c r="AS454" s="196"/>
      <c r="AT454" s="196"/>
    </row>
    <row r="455" spans="1:46" ht="18" hidden="1">
      <c r="A455" s="317">
        <v>3</v>
      </c>
      <c r="B455" s="318" t="s">
        <v>460</v>
      </c>
      <c r="C455" s="319">
        <f t="shared" si="172"/>
        <v>2.137</v>
      </c>
      <c r="D455" s="304"/>
      <c r="E455" s="304">
        <v>0.52600000000000002</v>
      </c>
      <c r="F455" s="304">
        <v>1.611</v>
      </c>
      <c r="G455" s="304"/>
      <c r="H455" s="304"/>
      <c r="I455" s="249">
        <f t="shared" si="173"/>
        <v>3.1</v>
      </c>
      <c r="J455" s="240">
        <f t="shared" si="174"/>
        <v>0</v>
      </c>
      <c r="K455" s="196"/>
      <c r="L455" s="196"/>
      <c r="M455" s="196"/>
      <c r="N455" s="196"/>
      <c r="O455" s="196"/>
      <c r="P455" s="240">
        <f t="shared" si="175"/>
        <v>3.1</v>
      </c>
      <c r="Q455" s="196"/>
      <c r="R455" s="196"/>
      <c r="S455" s="196"/>
      <c r="T455" s="196">
        <v>3.1</v>
      </c>
      <c r="U455" s="196"/>
      <c r="V455" s="238">
        <f t="shared" si="176"/>
        <v>427.79176000000001</v>
      </c>
      <c r="W455" s="227">
        <f t="shared" si="177"/>
        <v>2.7570000000000001</v>
      </c>
      <c r="X455" s="320"/>
      <c r="Y455" s="320">
        <v>0.21</v>
      </c>
      <c r="Z455" s="321">
        <v>2.5470000000000002</v>
      </c>
      <c r="AA455" s="321"/>
      <c r="AB455" s="320"/>
      <c r="AC455" s="227">
        <f t="shared" si="178"/>
        <v>0.48</v>
      </c>
      <c r="AD455" s="239">
        <f t="shared" si="179"/>
        <v>0</v>
      </c>
      <c r="AE455" s="237"/>
      <c r="AF455" s="237"/>
      <c r="AG455" s="237"/>
      <c r="AH455" s="237"/>
      <c r="AI455" s="237"/>
      <c r="AJ455" s="239">
        <f t="shared" si="180"/>
        <v>0.48</v>
      </c>
      <c r="AK455" s="322"/>
      <c r="AL455" s="322"/>
      <c r="AM455" s="322"/>
      <c r="AN455" s="322">
        <v>0.48</v>
      </c>
      <c r="AO455" s="322"/>
      <c r="AP455" s="320">
        <v>105.5</v>
      </c>
      <c r="AQ455" s="334">
        <f t="shared" si="181"/>
        <v>1.2901263453439402</v>
      </c>
      <c r="AR455" s="207">
        <f>AC455/I455</f>
        <v>0.15483870967741933</v>
      </c>
      <c r="AS455" s="196"/>
      <c r="AT455" s="196"/>
    </row>
    <row r="456" spans="1:46" ht="18" hidden="1">
      <c r="A456" s="317">
        <v>4</v>
      </c>
      <c r="B456" s="318" t="s">
        <v>461</v>
      </c>
      <c r="C456" s="319">
        <f t="shared" si="172"/>
        <v>2</v>
      </c>
      <c r="D456" s="304"/>
      <c r="E456" s="304"/>
      <c r="F456" s="304">
        <v>2</v>
      </c>
      <c r="G456" s="304"/>
      <c r="H456" s="304"/>
      <c r="I456" s="249">
        <f t="shared" si="173"/>
        <v>0</v>
      </c>
      <c r="J456" s="240">
        <f t="shared" si="174"/>
        <v>0</v>
      </c>
      <c r="K456" s="196"/>
      <c r="L456" s="196"/>
      <c r="M456" s="196"/>
      <c r="N456" s="196"/>
      <c r="O456" s="196"/>
      <c r="P456" s="240">
        <f t="shared" si="175"/>
        <v>0</v>
      </c>
      <c r="Q456" s="196"/>
      <c r="R456" s="196"/>
      <c r="S456" s="196"/>
      <c r="T456" s="196"/>
      <c r="U456" s="196"/>
      <c r="V456" s="238">
        <f t="shared" si="176"/>
        <v>223.44</v>
      </c>
      <c r="W456" s="227">
        <f t="shared" si="177"/>
        <v>1.6259999999999999</v>
      </c>
      <c r="X456" s="320"/>
      <c r="Y456" s="320"/>
      <c r="Z456" s="321">
        <v>1.6259999999999999</v>
      </c>
      <c r="AA456" s="321"/>
      <c r="AB456" s="320"/>
      <c r="AC456" s="227">
        <f t="shared" si="178"/>
        <v>6.9</v>
      </c>
      <c r="AD456" s="239">
        <f t="shared" si="179"/>
        <v>0</v>
      </c>
      <c r="AE456" s="237"/>
      <c r="AF456" s="237"/>
      <c r="AG456" s="237"/>
      <c r="AH456" s="237"/>
      <c r="AI456" s="237"/>
      <c r="AJ456" s="239">
        <f t="shared" si="180"/>
        <v>6.9</v>
      </c>
      <c r="AK456" s="322"/>
      <c r="AL456" s="322"/>
      <c r="AM456" s="322"/>
      <c r="AN456" s="323">
        <v>6.9</v>
      </c>
      <c r="AO456" s="322"/>
      <c r="AP456" s="320">
        <v>289.60000000000002</v>
      </c>
      <c r="AQ456" s="334">
        <f t="shared" si="181"/>
        <v>0.81299999999999994</v>
      </c>
      <c r="AR456" s="207"/>
      <c r="AS456" s="196"/>
      <c r="AT456" s="196"/>
    </row>
    <row r="457" spans="1:46" ht="18" hidden="1">
      <c r="A457" s="317">
        <v>5</v>
      </c>
      <c r="B457" s="318" t="s">
        <v>462</v>
      </c>
      <c r="C457" s="319">
        <f t="shared" si="172"/>
        <v>3.2439999999999998</v>
      </c>
      <c r="D457" s="304"/>
      <c r="E457" s="318">
        <v>1.752</v>
      </c>
      <c r="F457" s="318">
        <v>1.492</v>
      </c>
      <c r="G457" s="304"/>
      <c r="H457" s="304"/>
      <c r="I457" s="249">
        <f t="shared" si="173"/>
        <v>0</v>
      </c>
      <c r="J457" s="240">
        <f t="shared" si="174"/>
        <v>0</v>
      </c>
      <c r="K457" s="196"/>
      <c r="L457" s="196"/>
      <c r="M457" s="196"/>
      <c r="N457" s="196"/>
      <c r="O457" s="196"/>
      <c r="P457" s="240">
        <f t="shared" si="175"/>
        <v>0</v>
      </c>
      <c r="Q457" s="196"/>
      <c r="R457" s="196"/>
      <c r="S457" s="196"/>
      <c r="T457" s="196"/>
      <c r="U457" s="196"/>
      <c r="V457" s="238">
        <f t="shared" si="176"/>
        <v>469.85231999999996</v>
      </c>
      <c r="W457" s="227">
        <f t="shared" si="177"/>
        <v>1.46</v>
      </c>
      <c r="X457" s="320"/>
      <c r="Y457" s="320"/>
      <c r="Z457" s="321">
        <v>1.46</v>
      </c>
      <c r="AA457" s="321"/>
      <c r="AB457" s="320"/>
      <c r="AC457" s="227">
        <f t="shared" si="178"/>
        <v>0</v>
      </c>
      <c r="AD457" s="239">
        <f t="shared" si="179"/>
        <v>0</v>
      </c>
      <c r="AE457" s="237"/>
      <c r="AF457" s="237"/>
      <c r="AG457" s="237"/>
      <c r="AH457" s="237"/>
      <c r="AI457" s="237"/>
      <c r="AJ457" s="239">
        <f t="shared" si="180"/>
        <v>0</v>
      </c>
      <c r="AK457" s="322"/>
      <c r="AL457" s="322"/>
      <c r="AM457" s="322"/>
      <c r="AN457" s="324"/>
      <c r="AO457" s="322"/>
      <c r="AP457" s="320">
        <v>162.9</v>
      </c>
      <c r="AQ457" s="334">
        <f t="shared" si="181"/>
        <v>0.45006165228113443</v>
      </c>
      <c r="AR457" s="207"/>
      <c r="AS457" s="196"/>
      <c r="AT457" s="196"/>
    </row>
    <row r="458" spans="1:46" ht="18" hidden="1">
      <c r="A458" s="317">
        <v>6</v>
      </c>
      <c r="B458" s="318" t="s">
        <v>463</v>
      </c>
      <c r="C458" s="319">
        <f t="shared" si="172"/>
        <v>0.33</v>
      </c>
      <c r="D458" s="304"/>
      <c r="E458" s="318">
        <v>0.33</v>
      </c>
      <c r="F458" s="318"/>
      <c r="G458" s="304"/>
      <c r="H458" s="304"/>
      <c r="I458" s="249">
        <f t="shared" si="173"/>
        <v>0.05</v>
      </c>
      <c r="J458" s="240">
        <f t="shared" si="174"/>
        <v>0</v>
      </c>
      <c r="K458" s="196"/>
      <c r="L458" s="196"/>
      <c r="M458" s="196"/>
      <c r="N458" s="196"/>
      <c r="O458" s="196"/>
      <c r="P458" s="240">
        <f t="shared" si="175"/>
        <v>0.05</v>
      </c>
      <c r="Q458" s="196"/>
      <c r="R458" s="196"/>
      <c r="S458" s="196">
        <v>0.05</v>
      </c>
      <c r="T458" s="196"/>
      <c r="U458" s="196"/>
      <c r="V458" s="238">
        <f t="shared" si="176"/>
        <v>60.838999999999999</v>
      </c>
      <c r="W458" s="227">
        <f t="shared" si="177"/>
        <v>0</v>
      </c>
      <c r="X458" s="237"/>
      <c r="Y458" s="237"/>
      <c r="Z458" s="237"/>
      <c r="AA458" s="237"/>
      <c r="AB458" s="237"/>
      <c r="AC458" s="227">
        <f t="shared" si="178"/>
        <v>0</v>
      </c>
      <c r="AD458" s="239">
        <f t="shared" si="179"/>
        <v>0</v>
      </c>
      <c r="AE458" s="237"/>
      <c r="AF458" s="237"/>
      <c r="AG458" s="237"/>
      <c r="AH458" s="237"/>
      <c r="AI458" s="237"/>
      <c r="AJ458" s="239">
        <f t="shared" si="180"/>
        <v>0</v>
      </c>
      <c r="AK458" s="237"/>
      <c r="AL458" s="237"/>
      <c r="AM458" s="237"/>
      <c r="AN458" s="237"/>
      <c r="AO458" s="237"/>
      <c r="AP458" s="196"/>
      <c r="AQ458" s="334">
        <f t="shared" si="181"/>
        <v>0</v>
      </c>
      <c r="AR458" s="207">
        <f>AC458/I458</f>
        <v>0</v>
      </c>
      <c r="AS458" s="196"/>
      <c r="AT458" s="196"/>
    </row>
    <row r="459" spans="1:46" ht="18" hidden="1">
      <c r="A459" s="177" t="s">
        <v>26</v>
      </c>
      <c r="B459" s="178" t="s">
        <v>253</v>
      </c>
      <c r="C459" s="319"/>
      <c r="D459" s="304"/>
      <c r="E459" s="318"/>
      <c r="F459" s="318"/>
      <c r="G459" s="304"/>
      <c r="H459" s="304"/>
      <c r="I459" s="249"/>
      <c r="J459" s="240"/>
      <c r="K459" s="196"/>
      <c r="L459" s="196"/>
      <c r="M459" s="196"/>
      <c r="N459" s="196"/>
      <c r="O459" s="196"/>
      <c r="P459" s="240"/>
      <c r="Q459" s="196"/>
      <c r="R459" s="196"/>
      <c r="S459" s="196"/>
      <c r="T459" s="196"/>
      <c r="U459" s="196"/>
      <c r="V459" s="238"/>
      <c r="W459" s="227"/>
      <c r="X459" s="237"/>
      <c r="Y459" s="237"/>
      <c r="Z459" s="237"/>
      <c r="AA459" s="237"/>
      <c r="AB459" s="237"/>
      <c r="AC459" s="227"/>
      <c r="AD459" s="239"/>
      <c r="AE459" s="237"/>
      <c r="AF459" s="237"/>
      <c r="AG459" s="237"/>
      <c r="AH459" s="237"/>
      <c r="AI459" s="237"/>
      <c r="AJ459" s="239"/>
      <c r="AK459" s="237"/>
      <c r="AL459" s="237"/>
      <c r="AM459" s="237"/>
      <c r="AN459" s="237"/>
      <c r="AO459" s="237"/>
      <c r="AP459" s="196"/>
      <c r="AQ459" s="334"/>
      <c r="AR459" s="207"/>
      <c r="AS459" s="196"/>
      <c r="AT459" s="196"/>
    </row>
    <row r="460" spans="1:46" ht="18" hidden="1">
      <c r="A460" s="317">
        <v>1</v>
      </c>
      <c r="B460" s="318" t="s">
        <v>464</v>
      </c>
      <c r="C460" s="325">
        <f t="shared" ref="C460:C465" si="182">D460+E460+F460+G460</f>
        <v>1.5</v>
      </c>
      <c r="D460" s="318"/>
      <c r="E460" s="318"/>
      <c r="F460" s="326">
        <v>1.5</v>
      </c>
      <c r="G460" s="318"/>
      <c r="H460" s="316"/>
      <c r="I460" s="249">
        <f t="shared" ref="I460:I465" si="183">J460+P460</f>
        <v>0</v>
      </c>
      <c r="J460" s="240">
        <f t="shared" ref="J460:J465" si="184">SUM(K460:O460)</f>
        <v>0</v>
      </c>
      <c r="K460" s="196"/>
      <c r="L460" s="196"/>
      <c r="M460" s="196"/>
      <c r="N460" s="196"/>
      <c r="O460" s="196"/>
      <c r="P460" s="240">
        <f t="shared" ref="P460:P465" si="185">SUM(Q460:U460)</f>
        <v>0</v>
      </c>
      <c r="Q460" s="196"/>
      <c r="R460" s="196"/>
      <c r="S460" s="196"/>
      <c r="T460" s="196"/>
      <c r="U460" s="196"/>
      <c r="V460" s="238">
        <f t="shared" ref="V460:V465" si="186">D460*194.67+E460*173.04+F460*111.72+G460*111.72+H460*127.68+K460*86.255+L460*71.648+M460*84.489+N460*58.258+O460*53.065+Q460*72.658+R460*60.9+S460*74.716+T460*50.578+U460*46.62</f>
        <v>167.57999999999998</v>
      </c>
      <c r="W460" s="227">
        <f t="shared" ref="W460:W465" si="187">SUM(X460:AB460)</f>
        <v>1.5</v>
      </c>
      <c r="X460" s="237"/>
      <c r="Y460" s="237">
        <v>1.2549999999999999</v>
      </c>
      <c r="Z460" s="237">
        <v>0.245</v>
      </c>
      <c r="AA460" s="237"/>
      <c r="AB460" s="237"/>
      <c r="AC460" s="227">
        <f t="shared" ref="AC460:AC465" si="188">AD460+AJ460</f>
        <v>0</v>
      </c>
      <c r="AD460" s="239">
        <f t="shared" ref="AD460:AD465" si="189">SUM(AE460:AI460)</f>
        <v>0</v>
      </c>
      <c r="AE460" s="237"/>
      <c r="AF460" s="237"/>
      <c r="AG460" s="237"/>
      <c r="AH460" s="237"/>
      <c r="AI460" s="237"/>
      <c r="AJ460" s="239">
        <f t="shared" ref="AJ460:AJ465" si="190">SUM(AK460:AO460)</f>
        <v>0</v>
      </c>
      <c r="AK460" s="322"/>
      <c r="AL460" s="322"/>
      <c r="AM460" s="322"/>
      <c r="AN460" s="324"/>
      <c r="AO460" s="322"/>
      <c r="AP460" s="320">
        <v>232.9</v>
      </c>
      <c r="AQ460" s="334">
        <f>W460/C460</f>
        <v>1</v>
      </c>
      <c r="AR460" s="207"/>
      <c r="AS460" s="196"/>
      <c r="AT460" s="196"/>
    </row>
    <row r="461" spans="1:46" ht="18" hidden="1">
      <c r="A461" s="317">
        <v>2</v>
      </c>
      <c r="B461" s="318" t="s">
        <v>465</v>
      </c>
      <c r="C461" s="325">
        <f t="shared" si="182"/>
        <v>1.05</v>
      </c>
      <c r="D461" s="318"/>
      <c r="E461" s="318">
        <v>0.22</v>
      </c>
      <c r="F461" s="326">
        <v>0.83000000000000007</v>
      </c>
      <c r="G461" s="318"/>
      <c r="H461" s="316"/>
      <c r="I461" s="249">
        <f t="shared" si="183"/>
        <v>0.71299999999999997</v>
      </c>
      <c r="J461" s="240">
        <f t="shared" si="184"/>
        <v>0</v>
      </c>
      <c r="K461" s="196"/>
      <c r="L461" s="196"/>
      <c r="M461" s="196"/>
      <c r="N461" s="196"/>
      <c r="O461" s="196"/>
      <c r="P461" s="240">
        <f t="shared" si="185"/>
        <v>0.71299999999999997</v>
      </c>
      <c r="Q461" s="196">
        <v>0.71299999999999997</v>
      </c>
      <c r="R461" s="196"/>
      <c r="S461" s="196"/>
      <c r="T461" s="196"/>
      <c r="U461" s="196"/>
      <c r="V461" s="238">
        <f t="shared" si="186"/>
        <v>182.60155400000002</v>
      </c>
      <c r="W461" s="227">
        <f t="shared" si="187"/>
        <v>0.33200000000000002</v>
      </c>
      <c r="X461" s="237"/>
      <c r="Y461" s="237"/>
      <c r="Z461" s="237">
        <v>0.33200000000000002</v>
      </c>
      <c r="AA461" s="237"/>
      <c r="AB461" s="237"/>
      <c r="AC461" s="227">
        <f t="shared" si="188"/>
        <v>0.52500000000000002</v>
      </c>
      <c r="AD461" s="239">
        <f t="shared" si="189"/>
        <v>0</v>
      </c>
      <c r="AE461" s="237"/>
      <c r="AF461" s="237"/>
      <c r="AG461" s="237"/>
      <c r="AH461" s="237"/>
      <c r="AI461" s="237"/>
      <c r="AJ461" s="239">
        <f t="shared" si="190"/>
        <v>0.52500000000000002</v>
      </c>
      <c r="AK461" s="322">
        <v>0.52500000000000002</v>
      </c>
      <c r="AL461" s="322"/>
      <c r="AM461" s="322"/>
      <c r="AN461" s="324"/>
      <c r="AO461" s="322"/>
      <c r="AP461" s="320">
        <v>70.7</v>
      </c>
      <c r="AQ461" s="334">
        <f>W461/C461</f>
        <v>0.31619047619047619</v>
      </c>
      <c r="AR461" s="207">
        <f t="shared" ref="AR461:AR466" si="191">AC461/I461</f>
        <v>0.73632538569424977</v>
      </c>
      <c r="AS461" s="196"/>
      <c r="AT461" s="196"/>
    </row>
    <row r="462" spans="1:46" ht="18" hidden="1">
      <c r="A462" s="317">
        <v>3</v>
      </c>
      <c r="B462" s="318" t="s">
        <v>466</v>
      </c>
      <c r="C462" s="325">
        <f t="shared" si="182"/>
        <v>0.6</v>
      </c>
      <c r="D462" s="318"/>
      <c r="E462" s="318"/>
      <c r="F462" s="326">
        <v>0.6</v>
      </c>
      <c r="G462" s="318"/>
      <c r="H462" s="316"/>
      <c r="I462" s="249">
        <f t="shared" si="183"/>
        <v>0.5</v>
      </c>
      <c r="J462" s="240">
        <f t="shared" si="184"/>
        <v>0</v>
      </c>
      <c r="K462" s="196"/>
      <c r="L462" s="196"/>
      <c r="M462" s="196"/>
      <c r="N462" s="196"/>
      <c r="O462" s="196"/>
      <c r="P462" s="240">
        <f t="shared" si="185"/>
        <v>0.5</v>
      </c>
      <c r="Q462" s="196"/>
      <c r="R462" s="196"/>
      <c r="S462" s="196"/>
      <c r="T462" s="196">
        <v>0.5</v>
      </c>
      <c r="U462" s="196"/>
      <c r="V462" s="238">
        <f t="shared" si="186"/>
        <v>92.320999999999998</v>
      </c>
      <c r="W462" s="227">
        <f t="shared" si="187"/>
        <v>0.21</v>
      </c>
      <c r="X462" s="237"/>
      <c r="Y462" s="237"/>
      <c r="Z462" s="237">
        <v>0.21</v>
      </c>
      <c r="AA462" s="237"/>
      <c r="AB462" s="237"/>
      <c r="AC462" s="227">
        <f t="shared" si="188"/>
        <v>0.875</v>
      </c>
      <c r="AD462" s="239">
        <f t="shared" si="189"/>
        <v>0</v>
      </c>
      <c r="AE462" s="237"/>
      <c r="AF462" s="237"/>
      <c r="AG462" s="237"/>
      <c r="AH462" s="237"/>
      <c r="AI462" s="237"/>
      <c r="AJ462" s="239">
        <f t="shared" si="190"/>
        <v>0.875</v>
      </c>
      <c r="AK462" s="322"/>
      <c r="AL462" s="322"/>
      <c r="AM462" s="327">
        <v>0.875</v>
      </c>
      <c r="AN462" s="324"/>
      <c r="AO462" s="322"/>
      <c r="AP462" s="320">
        <v>96.1</v>
      </c>
      <c r="AQ462" s="334">
        <f>W462/C462</f>
        <v>0.35</v>
      </c>
      <c r="AR462" s="207">
        <f t="shared" si="191"/>
        <v>1.75</v>
      </c>
      <c r="AS462" s="196"/>
      <c r="AT462" s="196"/>
    </row>
    <row r="463" spans="1:46" ht="18" hidden="1">
      <c r="A463" s="317">
        <v>4</v>
      </c>
      <c r="B463" s="318" t="s">
        <v>467</v>
      </c>
      <c r="C463" s="325">
        <f t="shared" si="182"/>
        <v>0</v>
      </c>
      <c r="D463" s="318"/>
      <c r="E463" s="318"/>
      <c r="F463" s="326"/>
      <c r="G463" s="318"/>
      <c r="H463" s="316"/>
      <c r="I463" s="249">
        <f t="shared" si="183"/>
        <v>6.9</v>
      </c>
      <c r="J463" s="240">
        <f t="shared" si="184"/>
        <v>0</v>
      </c>
      <c r="K463" s="196"/>
      <c r="L463" s="196"/>
      <c r="M463" s="196"/>
      <c r="N463" s="196"/>
      <c r="O463" s="196"/>
      <c r="P463" s="240">
        <f t="shared" si="185"/>
        <v>6.9</v>
      </c>
      <c r="Q463" s="196"/>
      <c r="R463" s="196"/>
      <c r="S463" s="196">
        <v>3.6</v>
      </c>
      <c r="T463" s="196">
        <v>3.3</v>
      </c>
      <c r="U463" s="196"/>
      <c r="V463" s="238">
        <f t="shared" si="186"/>
        <v>435.88499999999999</v>
      </c>
      <c r="W463" s="227">
        <f t="shared" si="187"/>
        <v>0</v>
      </c>
      <c r="X463" s="237"/>
      <c r="Y463" s="237"/>
      <c r="Z463" s="237"/>
      <c r="AA463" s="237"/>
      <c r="AB463" s="237"/>
      <c r="AC463" s="227">
        <f t="shared" si="188"/>
        <v>2.8440000000000003</v>
      </c>
      <c r="AD463" s="239">
        <f t="shared" si="189"/>
        <v>0</v>
      </c>
      <c r="AE463" s="237"/>
      <c r="AF463" s="237"/>
      <c r="AG463" s="237"/>
      <c r="AH463" s="237"/>
      <c r="AI463" s="237"/>
      <c r="AJ463" s="239">
        <f t="shared" si="190"/>
        <v>2.8440000000000003</v>
      </c>
      <c r="AK463" s="322"/>
      <c r="AL463" s="322"/>
      <c r="AM463" s="327">
        <v>2.8440000000000003</v>
      </c>
      <c r="AN463" s="324"/>
      <c r="AO463" s="322"/>
      <c r="AP463" s="320">
        <v>212.7</v>
      </c>
      <c r="AQ463" s="334"/>
      <c r="AR463" s="207">
        <f t="shared" si="191"/>
        <v>0.41217391304347828</v>
      </c>
      <c r="AS463" s="196"/>
      <c r="AT463" s="196"/>
    </row>
    <row r="464" spans="1:46" ht="18" hidden="1">
      <c r="A464" s="317">
        <v>5</v>
      </c>
      <c r="B464" s="318" t="s">
        <v>468</v>
      </c>
      <c r="C464" s="325">
        <f t="shared" si="182"/>
        <v>0</v>
      </c>
      <c r="D464" s="318"/>
      <c r="E464" s="318"/>
      <c r="F464" s="326"/>
      <c r="G464" s="318"/>
      <c r="H464" s="316"/>
      <c r="I464" s="249">
        <f t="shared" si="183"/>
        <v>2.29</v>
      </c>
      <c r="J464" s="240">
        <f t="shared" si="184"/>
        <v>0</v>
      </c>
      <c r="K464" s="196"/>
      <c r="L464" s="196"/>
      <c r="M464" s="196"/>
      <c r="N464" s="196"/>
      <c r="O464" s="196"/>
      <c r="P464" s="240">
        <f t="shared" si="185"/>
        <v>2.29</v>
      </c>
      <c r="Q464" s="196">
        <v>1.57</v>
      </c>
      <c r="R464" s="196"/>
      <c r="S464" s="196"/>
      <c r="T464" s="196">
        <v>0.72</v>
      </c>
      <c r="U464" s="196"/>
      <c r="V464" s="238">
        <f t="shared" si="186"/>
        <v>150.48922000000002</v>
      </c>
      <c r="W464" s="227">
        <f t="shared" si="187"/>
        <v>0</v>
      </c>
      <c r="X464" s="237"/>
      <c r="Y464" s="237"/>
      <c r="Z464" s="237"/>
      <c r="AA464" s="237"/>
      <c r="AB464" s="237"/>
      <c r="AC464" s="227">
        <f t="shared" si="188"/>
        <v>0.41499999999999998</v>
      </c>
      <c r="AD464" s="239">
        <f t="shared" si="189"/>
        <v>0</v>
      </c>
      <c r="AE464" s="237"/>
      <c r="AF464" s="237"/>
      <c r="AG464" s="237"/>
      <c r="AH464" s="237"/>
      <c r="AI464" s="237"/>
      <c r="AJ464" s="239">
        <f t="shared" si="190"/>
        <v>0.41499999999999998</v>
      </c>
      <c r="AK464" s="322"/>
      <c r="AL464" s="322"/>
      <c r="AM464" s="327"/>
      <c r="AN464" s="328">
        <v>0.41499999999999998</v>
      </c>
      <c r="AO464" s="322"/>
      <c r="AP464" s="320">
        <v>25.7</v>
      </c>
      <c r="AQ464" s="334"/>
      <c r="AR464" s="207">
        <f t="shared" si="191"/>
        <v>0.18122270742358076</v>
      </c>
      <c r="AS464" s="196"/>
      <c r="AT464" s="196"/>
    </row>
    <row r="465" spans="1:46" ht="18" hidden="1">
      <c r="A465" s="317">
        <v>6</v>
      </c>
      <c r="B465" s="318" t="s">
        <v>469</v>
      </c>
      <c r="C465" s="325">
        <f t="shared" si="182"/>
        <v>0</v>
      </c>
      <c r="D465" s="318"/>
      <c r="E465" s="318"/>
      <c r="F465" s="326"/>
      <c r="G465" s="318"/>
      <c r="H465" s="316"/>
      <c r="I465" s="249">
        <f t="shared" si="183"/>
        <v>0</v>
      </c>
      <c r="J465" s="240">
        <f t="shared" si="184"/>
        <v>0</v>
      </c>
      <c r="K465" s="196"/>
      <c r="L465" s="196"/>
      <c r="M465" s="196"/>
      <c r="N465" s="196"/>
      <c r="O465" s="196"/>
      <c r="P465" s="240">
        <f t="shared" si="185"/>
        <v>0</v>
      </c>
      <c r="Q465" s="196"/>
      <c r="R465" s="196"/>
      <c r="S465" s="196"/>
      <c r="T465" s="196"/>
      <c r="U465" s="196"/>
      <c r="V465" s="238">
        <f t="shared" si="186"/>
        <v>0</v>
      </c>
      <c r="W465" s="227">
        <f t="shared" si="187"/>
        <v>0.51600000000000001</v>
      </c>
      <c r="X465" s="237"/>
      <c r="Y465" s="237">
        <v>0.51600000000000001</v>
      </c>
      <c r="Z465" s="237"/>
      <c r="AA465" s="237"/>
      <c r="AB465" s="237"/>
      <c r="AC465" s="227">
        <f t="shared" si="188"/>
        <v>0.15</v>
      </c>
      <c r="AD465" s="239">
        <f t="shared" si="189"/>
        <v>0</v>
      </c>
      <c r="AE465" s="237"/>
      <c r="AF465" s="237"/>
      <c r="AG465" s="237"/>
      <c r="AH465" s="237"/>
      <c r="AI465" s="237"/>
      <c r="AJ465" s="239">
        <f t="shared" si="190"/>
        <v>0.15</v>
      </c>
      <c r="AK465" s="322"/>
      <c r="AL465" s="322"/>
      <c r="AM465" s="327">
        <v>0.15</v>
      </c>
      <c r="AN465" s="328"/>
      <c r="AO465" s="322"/>
      <c r="AP465" s="320">
        <v>88.7</v>
      </c>
      <c r="AQ465" s="334"/>
      <c r="AR465" s="207" t="e">
        <f t="shared" si="191"/>
        <v>#DIV/0!</v>
      </c>
      <c r="AS465" s="196"/>
      <c r="AT465" s="196"/>
    </row>
    <row r="466" spans="1:46" hidden="1">
      <c r="A466" s="196"/>
      <c r="B466" s="241" t="s">
        <v>1</v>
      </c>
      <c r="C466" s="227">
        <f t="shared" ref="C466:AP466" si="192">SUM(C453:C465)</f>
        <v>15.677</v>
      </c>
      <c r="D466" s="227">
        <f t="shared" si="192"/>
        <v>0</v>
      </c>
      <c r="E466" s="227">
        <f t="shared" si="192"/>
        <v>3.371</v>
      </c>
      <c r="F466" s="227">
        <f t="shared" si="192"/>
        <v>10.805999999999999</v>
      </c>
      <c r="G466" s="227">
        <f t="shared" si="192"/>
        <v>1.5</v>
      </c>
      <c r="H466" s="227">
        <f t="shared" si="192"/>
        <v>0</v>
      </c>
      <c r="I466" s="227">
        <f t="shared" si="192"/>
        <v>14.835999999999999</v>
      </c>
      <c r="J466" s="227">
        <f t="shared" si="192"/>
        <v>0</v>
      </c>
      <c r="K466" s="227">
        <f t="shared" si="192"/>
        <v>0</v>
      </c>
      <c r="L466" s="227">
        <f t="shared" si="192"/>
        <v>0</v>
      </c>
      <c r="M466" s="227">
        <f t="shared" si="192"/>
        <v>0</v>
      </c>
      <c r="N466" s="227">
        <f t="shared" si="192"/>
        <v>0</v>
      </c>
      <c r="O466" s="227">
        <f t="shared" si="192"/>
        <v>0</v>
      </c>
      <c r="P466" s="227">
        <f t="shared" si="192"/>
        <v>14.835999999999999</v>
      </c>
      <c r="Q466" s="227">
        <f t="shared" si="192"/>
        <v>2.2829999999999999</v>
      </c>
      <c r="R466" s="227">
        <f t="shared" si="192"/>
        <v>0</v>
      </c>
      <c r="S466" s="227">
        <f t="shared" si="192"/>
        <v>3.65</v>
      </c>
      <c r="T466" s="227">
        <f t="shared" si="192"/>
        <v>8.9030000000000005</v>
      </c>
      <c r="U466" s="227">
        <f t="shared" si="192"/>
        <v>0</v>
      </c>
      <c r="V466" s="227">
        <f t="shared" si="192"/>
        <v>2847.031708</v>
      </c>
      <c r="W466" s="227">
        <f t="shared" si="192"/>
        <v>13.682</v>
      </c>
      <c r="X466" s="227">
        <f t="shared" si="192"/>
        <v>0</v>
      </c>
      <c r="Y466" s="227">
        <f t="shared" si="192"/>
        <v>2.8739999999999997</v>
      </c>
      <c r="Z466" s="227">
        <f t="shared" si="192"/>
        <v>9.6210000000000004</v>
      </c>
      <c r="AA466" s="227">
        <f t="shared" si="192"/>
        <v>1.1870000000000001</v>
      </c>
      <c r="AB466" s="227">
        <f t="shared" si="192"/>
        <v>0</v>
      </c>
      <c r="AC466" s="227">
        <f t="shared" si="192"/>
        <v>12.689000000000002</v>
      </c>
      <c r="AD466" s="227">
        <f t="shared" si="192"/>
        <v>0</v>
      </c>
      <c r="AE466" s="227">
        <f t="shared" si="192"/>
        <v>0</v>
      </c>
      <c r="AF466" s="227">
        <f t="shared" si="192"/>
        <v>0</v>
      </c>
      <c r="AG466" s="227">
        <f t="shared" si="192"/>
        <v>0</v>
      </c>
      <c r="AH466" s="227">
        <f t="shared" si="192"/>
        <v>0</v>
      </c>
      <c r="AI466" s="227">
        <f t="shared" si="192"/>
        <v>0</v>
      </c>
      <c r="AJ466" s="227">
        <f t="shared" si="192"/>
        <v>12.689000000000002</v>
      </c>
      <c r="AK466" s="227">
        <f t="shared" si="192"/>
        <v>0.52500000000000002</v>
      </c>
      <c r="AL466" s="227">
        <f t="shared" si="192"/>
        <v>0</v>
      </c>
      <c r="AM466" s="227">
        <f t="shared" si="192"/>
        <v>3.8690000000000002</v>
      </c>
      <c r="AN466" s="227">
        <f t="shared" si="192"/>
        <v>8.2949999999999999</v>
      </c>
      <c r="AO466" s="227">
        <f t="shared" si="192"/>
        <v>0</v>
      </c>
      <c r="AP466" s="227">
        <f t="shared" si="192"/>
        <v>2095.4</v>
      </c>
      <c r="AQ466" s="332">
        <f>W466/C466</f>
        <v>0.87274350960005109</v>
      </c>
      <c r="AR466" s="226">
        <f t="shared" si="191"/>
        <v>0.85528444324615815</v>
      </c>
      <c r="AS466" s="227">
        <f>SUM(AS453:AS464)</f>
        <v>0</v>
      </c>
      <c r="AT466" s="227">
        <f>SUM(AT453:AT464)</f>
        <v>0</v>
      </c>
    </row>
    <row r="467" spans="1:46" hidden="1"/>
    <row r="468" spans="1:46" hidden="1"/>
    <row r="469" spans="1:46" hidden="1"/>
    <row r="470" spans="1:46" hidden="1"/>
    <row r="471" spans="1:46" hidden="1"/>
    <row r="472" spans="1:46" hidden="1"/>
    <row r="473" spans="1:46" hidden="1"/>
    <row r="491" spans="22:22">
      <c r="V491" s="171">
        <f>84/230</f>
        <v>0.36521739130434783</v>
      </c>
    </row>
  </sheetData>
  <mergeCells count="756">
    <mergeCell ref="J450:J451"/>
    <mergeCell ref="K450:L450"/>
    <mergeCell ref="M450:N450"/>
    <mergeCell ref="O450:O451"/>
    <mergeCell ref="P450:P451"/>
    <mergeCell ref="Q450:R450"/>
    <mergeCell ref="AD449:AI449"/>
    <mergeCell ref="AJ449:AO449"/>
    <mergeCell ref="AD450:AD451"/>
    <mergeCell ref="AE450:AF450"/>
    <mergeCell ref="AG450:AH450"/>
    <mergeCell ref="AI450:AI451"/>
    <mergeCell ref="P449:U449"/>
    <mergeCell ref="X449:X451"/>
    <mergeCell ref="Y449:Y451"/>
    <mergeCell ref="Z449:Z451"/>
    <mergeCell ref="AA449:AA451"/>
    <mergeCell ref="AB449:AB451"/>
    <mergeCell ref="S450:T450"/>
    <mergeCell ref="U450:U451"/>
    <mergeCell ref="V448:V451"/>
    <mergeCell ref="W448:W451"/>
    <mergeCell ref="AJ450:AJ451"/>
    <mergeCell ref="AK450:AL450"/>
    <mergeCell ref="AM450:AN450"/>
    <mergeCell ref="AO450:AO451"/>
    <mergeCell ref="A447:A449"/>
    <mergeCell ref="B447:B451"/>
    <mergeCell ref="C447:V447"/>
    <mergeCell ref="W447:AP447"/>
    <mergeCell ref="AQ447:AR447"/>
    <mergeCell ref="AS447:AT447"/>
    <mergeCell ref="C448:C451"/>
    <mergeCell ref="D448:H448"/>
    <mergeCell ref="I448:I451"/>
    <mergeCell ref="J448:U448"/>
    <mergeCell ref="AQ448:AQ451"/>
    <mergeCell ref="AR448:AR451"/>
    <mergeCell ref="AS448:AS451"/>
    <mergeCell ref="AT448:AT451"/>
    <mergeCell ref="D449:D451"/>
    <mergeCell ref="E449:E451"/>
    <mergeCell ref="F449:F451"/>
    <mergeCell ref="G449:G451"/>
    <mergeCell ref="H449:H451"/>
    <mergeCell ref="J449:O449"/>
    <mergeCell ref="X448:AB448"/>
    <mergeCell ref="AC448:AC451"/>
    <mergeCell ref="AD448:AO448"/>
    <mergeCell ref="AP448:AP451"/>
    <mergeCell ref="B442:F442"/>
    <mergeCell ref="B443:F443"/>
    <mergeCell ref="A445:AT445"/>
    <mergeCell ref="A446:AT446"/>
    <mergeCell ref="AD424:AD425"/>
    <mergeCell ref="AE424:AF424"/>
    <mergeCell ref="AG424:AH424"/>
    <mergeCell ref="AI424:AI425"/>
    <mergeCell ref="J424:J425"/>
    <mergeCell ref="K424:L424"/>
    <mergeCell ref="M424:N424"/>
    <mergeCell ref="O424:O425"/>
    <mergeCell ref="P424:P425"/>
    <mergeCell ref="Q424:R424"/>
    <mergeCell ref="AS422:AS425"/>
    <mergeCell ref="AT422:AT425"/>
    <mergeCell ref="D423:D425"/>
    <mergeCell ref="E423:E425"/>
    <mergeCell ref="F423:F425"/>
    <mergeCell ref="G423:G425"/>
    <mergeCell ref="H423:H425"/>
    <mergeCell ref="J423:O423"/>
    <mergeCell ref="AC422:AC425"/>
    <mergeCell ref="AD422:AO422"/>
    <mergeCell ref="AP422:AP425"/>
    <mergeCell ref="S424:T424"/>
    <mergeCell ref="U424:U425"/>
    <mergeCell ref="AD423:AI423"/>
    <mergeCell ref="AJ423:AO423"/>
    <mergeCell ref="AM424:AN424"/>
    <mergeCell ref="AO424:AO425"/>
    <mergeCell ref="A420:AT420"/>
    <mergeCell ref="A421:A423"/>
    <mergeCell ref="B421:B425"/>
    <mergeCell ref="C421:V421"/>
    <mergeCell ref="W421:AP421"/>
    <mergeCell ref="AQ421:AR421"/>
    <mergeCell ref="AS421:AT421"/>
    <mergeCell ref="C422:C425"/>
    <mergeCell ref="D422:H422"/>
    <mergeCell ref="I422:I425"/>
    <mergeCell ref="J422:U422"/>
    <mergeCell ref="V422:V425"/>
    <mergeCell ref="W422:W425"/>
    <mergeCell ref="AQ422:AQ425"/>
    <mergeCell ref="AR422:AR425"/>
    <mergeCell ref="Y423:Y425"/>
    <mergeCell ref="Z423:Z425"/>
    <mergeCell ref="AA423:AA425"/>
    <mergeCell ref="AB423:AB425"/>
    <mergeCell ref="AJ424:AJ425"/>
    <mergeCell ref="AK424:AL424"/>
    <mergeCell ref="P423:U423"/>
    <mergeCell ref="X423:X425"/>
    <mergeCell ref="X422:AB422"/>
    <mergeCell ref="B416:F416"/>
    <mergeCell ref="B417:F417"/>
    <mergeCell ref="J388:J389"/>
    <mergeCell ref="K388:L388"/>
    <mergeCell ref="M388:N388"/>
    <mergeCell ref="O388:O389"/>
    <mergeCell ref="P388:P389"/>
    <mergeCell ref="Q388:R388"/>
    <mergeCell ref="A419:AT419"/>
    <mergeCell ref="AJ387:AO387"/>
    <mergeCell ref="AD388:AD389"/>
    <mergeCell ref="AE388:AF388"/>
    <mergeCell ref="AG388:AH388"/>
    <mergeCell ref="AI388:AI389"/>
    <mergeCell ref="AJ388:AJ389"/>
    <mergeCell ref="P387:U387"/>
    <mergeCell ref="X387:X389"/>
    <mergeCell ref="Y387:Y389"/>
    <mergeCell ref="Z387:Z389"/>
    <mergeCell ref="AA387:AA389"/>
    <mergeCell ref="AB387:AB389"/>
    <mergeCell ref="S388:T388"/>
    <mergeCell ref="U388:U389"/>
    <mergeCell ref="V386:V389"/>
    <mergeCell ref="W386:W389"/>
    <mergeCell ref="X386:AB386"/>
    <mergeCell ref="AK388:AL388"/>
    <mergeCell ref="AM388:AN388"/>
    <mergeCell ref="AO388:AO389"/>
    <mergeCell ref="A385:A387"/>
    <mergeCell ref="B385:B389"/>
    <mergeCell ref="C385:V385"/>
    <mergeCell ref="W385:AP385"/>
    <mergeCell ref="AQ385:AR385"/>
    <mergeCell ref="AS385:AT385"/>
    <mergeCell ref="C386:C389"/>
    <mergeCell ref="D386:H386"/>
    <mergeCell ref="I386:I389"/>
    <mergeCell ref="J386:U386"/>
    <mergeCell ref="AQ386:AQ389"/>
    <mergeCell ref="AR386:AR389"/>
    <mergeCell ref="AS386:AS389"/>
    <mergeCell ref="AT386:AT389"/>
    <mergeCell ref="D387:D389"/>
    <mergeCell ref="E387:E389"/>
    <mergeCell ref="F387:F389"/>
    <mergeCell ref="G387:G389"/>
    <mergeCell ref="H387:H389"/>
    <mergeCell ref="J387:O387"/>
    <mergeCell ref="AC386:AC389"/>
    <mergeCell ref="AD386:AO386"/>
    <mergeCell ref="AP386:AP389"/>
    <mergeCell ref="AD387:AI387"/>
    <mergeCell ref="B380:F380"/>
    <mergeCell ref="B381:F381"/>
    <mergeCell ref="A383:AT383"/>
    <mergeCell ref="A384:AT384"/>
    <mergeCell ref="AD364:AD365"/>
    <mergeCell ref="AE364:AF364"/>
    <mergeCell ref="AG364:AH364"/>
    <mergeCell ref="AI364:AI365"/>
    <mergeCell ref="J364:J365"/>
    <mergeCell ref="K364:L364"/>
    <mergeCell ref="M364:N364"/>
    <mergeCell ref="O364:O365"/>
    <mergeCell ref="P364:P365"/>
    <mergeCell ref="Q364:R364"/>
    <mergeCell ref="AS362:AS365"/>
    <mergeCell ref="AT362:AT365"/>
    <mergeCell ref="D363:D365"/>
    <mergeCell ref="E363:E365"/>
    <mergeCell ref="F363:F365"/>
    <mergeCell ref="G363:G365"/>
    <mergeCell ref="H363:H365"/>
    <mergeCell ref="J363:O363"/>
    <mergeCell ref="AC362:AC365"/>
    <mergeCell ref="AD362:AO362"/>
    <mergeCell ref="AP362:AP365"/>
    <mergeCell ref="S364:T364"/>
    <mergeCell ref="U364:U365"/>
    <mergeCell ref="AD363:AI363"/>
    <mergeCell ref="AJ363:AO363"/>
    <mergeCell ref="AM364:AN364"/>
    <mergeCell ref="AO364:AO365"/>
    <mergeCell ref="A360:AT360"/>
    <mergeCell ref="A361:A363"/>
    <mergeCell ref="B361:B365"/>
    <mergeCell ref="C361:V361"/>
    <mergeCell ref="W361:AP361"/>
    <mergeCell ref="AQ361:AR361"/>
    <mergeCell ref="AS361:AT361"/>
    <mergeCell ref="C362:C365"/>
    <mergeCell ref="D362:H362"/>
    <mergeCell ref="I362:I365"/>
    <mergeCell ref="J362:U362"/>
    <mergeCell ref="V362:V365"/>
    <mergeCell ref="W362:W365"/>
    <mergeCell ref="AQ362:AQ365"/>
    <mergeCell ref="AR362:AR365"/>
    <mergeCell ref="Y363:Y365"/>
    <mergeCell ref="Z363:Z365"/>
    <mergeCell ref="AA363:AA365"/>
    <mergeCell ref="AB363:AB365"/>
    <mergeCell ref="AJ364:AJ365"/>
    <mergeCell ref="AK364:AL364"/>
    <mergeCell ref="P363:U363"/>
    <mergeCell ref="X363:X365"/>
    <mergeCell ref="X362:AB362"/>
    <mergeCell ref="B356:F356"/>
    <mergeCell ref="B357:F357"/>
    <mergeCell ref="J318:J319"/>
    <mergeCell ref="K318:L318"/>
    <mergeCell ref="M318:N318"/>
    <mergeCell ref="O318:O319"/>
    <mergeCell ref="P318:P319"/>
    <mergeCell ref="Q318:R318"/>
    <mergeCell ref="A359:AT359"/>
    <mergeCell ref="AJ317:AO317"/>
    <mergeCell ref="AD318:AD319"/>
    <mergeCell ref="AE318:AF318"/>
    <mergeCell ref="AG318:AH318"/>
    <mergeCell ref="AI318:AI319"/>
    <mergeCell ref="AJ318:AJ319"/>
    <mergeCell ref="P317:U317"/>
    <mergeCell ref="X317:X319"/>
    <mergeCell ref="Y317:Y319"/>
    <mergeCell ref="Z317:Z319"/>
    <mergeCell ref="AA317:AA319"/>
    <mergeCell ref="AB317:AB319"/>
    <mergeCell ref="S318:T318"/>
    <mergeCell ref="U318:U319"/>
    <mergeCell ref="V316:V319"/>
    <mergeCell ref="W316:W319"/>
    <mergeCell ref="X316:AB316"/>
    <mergeCell ref="AK318:AL318"/>
    <mergeCell ref="AM318:AN318"/>
    <mergeCell ref="AO318:AO319"/>
    <mergeCell ref="A315:A317"/>
    <mergeCell ref="B315:B319"/>
    <mergeCell ref="C315:V315"/>
    <mergeCell ref="W315:AP315"/>
    <mergeCell ref="AQ315:AR315"/>
    <mergeCell ref="AS315:AT315"/>
    <mergeCell ref="C316:C319"/>
    <mergeCell ref="D316:H316"/>
    <mergeCell ref="I316:I319"/>
    <mergeCell ref="J316:U316"/>
    <mergeCell ref="AQ316:AQ319"/>
    <mergeCell ref="AR316:AR319"/>
    <mergeCell ref="AS316:AS319"/>
    <mergeCell ref="AT316:AT319"/>
    <mergeCell ref="D317:D319"/>
    <mergeCell ref="E317:E319"/>
    <mergeCell ref="F317:F319"/>
    <mergeCell ref="G317:G319"/>
    <mergeCell ref="H317:H319"/>
    <mergeCell ref="J317:O317"/>
    <mergeCell ref="AC316:AC319"/>
    <mergeCell ref="AD316:AO316"/>
    <mergeCell ref="AP316:AP319"/>
    <mergeCell ref="AD317:AI317"/>
    <mergeCell ref="B310:F310"/>
    <mergeCell ref="B311:F311"/>
    <mergeCell ref="A313:AT313"/>
    <mergeCell ref="A314:AT314"/>
    <mergeCell ref="AD276:AD277"/>
    <mergeCell ref="AE276:AF276"/>
    <mergeCell ref="AG276:AH276"/>
    <mergeCell ref="AI276:AI277"/>
    <mergeCell ref="J276:J277"/>
    <mergeCell ref="K276:L276"/>
    <mergeCell ref="M276:N276"/>
    <mergeCell ref="O276:O277"/>
    <mergeCell ref="P276:P277"/>
    <mergeCell ref="Q276:R276"/>
    <mergeCell ref="AS274:AS277"/>
    <mergeCell ref="AT274:AT277"/>
    <mergeCell ref="D275:D277"/>
    <mergeCell ref="E275:E277"/>
    <mergeCell ref="F275:F277"/>
    <mergeCell ref="G275:G277"/>
    <mergeCell ref="H275:H277"/>
    <mergeCell ref="J275:O275"/>
    <mergeCell ref="AC274:AC277"/>
    <mergeCell ref="AD274:AO274"/>
    <mergeCell ref="AP274:AP277"/>
    <mergeCell ref="S276:T276"/>
    <mergeCell ref="U276:U277"/>
    <mergeCell ref="AD275:AI275"/>
    <mergeCell ref="AJ275:AO275"/>
    <mergeCell ref="AM276:AN276"/>
    <mergeCell ref="AO276:AO277"/>
    <mergeCell ref="A272:AT272"/>
    <mergeCell ref="A273:A275"/>
    <mergeCell ref="B273:B277"/>
    <mergeCell ref="C273:V273"/>
    <mergeCell ref="W273:AP273"/>
    <mergeCell ref="AQ273:AR273"/>
    <mergeCell ref="AS273:AT273"/>
    <mergeCell ref="C274:C277"/>
    <mergeCell ref="D274:H274"/>
    <mergeCell ref="I274:I277"/>
    <mergeCell ref="J274:U274"/>
    <mergeCell ref="V274:V277"/>
    <mergeCell ref="W274:W277"/>
    <mergeCell ref="AQ274:AQ277"/>
    <mergeCell ref="AR274:AR277"/>
    <mergeCell ref="Y275:Y277"/>
    <mergeCell ref="Z275:Z277"/>
    <mergeCell ref="AA275:AA277"/>
    <mergeCell ref="AB275:AB277"/>
    <mergeCell ref="AJ276:AJ277"/>
    <mergeCell ref="AK276:AL276"/>
    <mergeCell ref="P275:U275"/>
    <mergeCell ref="X275:X277"/>
    <mergeCell ref="X274:AB274"/>
    <mergeCell ref="B268:F268"/>
    <mergeCell ref="B269:F269"/>
    <mergeCell ref="J243:J244"/>
    <mergeCell ref="K243:L243"/>
    <mergeCell ref="M243:N243"/>
    <mergeCell ref="O243:O244"/>
    <mergeCell ref="P243:P244"/>
    <mergeCell ref="Q243:R243"/>
    <mergeCell ref="A271:AT271"/>
    <mergeCell ref="AJ242:AO242"/>
    <mergeCell ref="AD243:AD244"/>
    <mergeCell ref="AE243:AF243"/>
    <mergeCell ref="AG243:AH243"/>
    <mergeCell ref="AI243:AI244"/>
    <mergeCell ref="AJ243:AJ244"/>
    <mergeCell ref="P242:U242"/>
    <mergeCell ref="X242:X244"/>
    <mergeCell ref="Y242:Y244"/>
    <mergeCell ref="Z242:Z244"/>
    <mergeCell ref="AA242:AA244"/>
    <mergeCell ref="AB242:AB244"/>
    <mergeCell ref="S243:T243"/>
    <mergeCell ref="U243:U244"/>
    <mergeCell ref="V241:V244"/>
    <mergeCell ref="W241:W244"/>
    <mergeCell ref="X241:AB241"/>
    <mergeCell ref="AK243:AL243"/>
    <mergeCell ref="AM243:AN243"/>
    <mergeCell ref="AO243:AO244"/>
    <mergeCell ref="A240:A242"/>
    <mergeCell ref="B240:B244"/>
    <mergeCell ref="C240:V240"/>
    <mergeCell ref="W240:AP240"/>
    <mergeCell ref="AQ240:AR240"/>
    <mergeCell ref="AS240:AT240"/>
    <mergeCell ref="C241:C244"/>
    <mergeCell ref="D241:H241"/>
    <mergeCell ref="I241:I244"/>
    <mergeCell ref="J241:U241"/>
    <mergeCell ref="AQ241:AQ244"/>
    <mergeCell ref="AR241:AR244"/>
    <mergeCell ref="AS241:AS244"/>
    <mergeCell ref="AT241:AT244"/>
    <mergeCell ref="D242:D244"/>
    <mergeCell ref="E242:E244"/>
    <mergeCell ref="F242:F244"/>
    <mergeCell ref="G242:G244"/>
    <mergeCell ref="H242:H244"/>
    <mergeCell ref="J242:O242"/>
    <mergeCell ref="AC241:AC244"/>
    <mergeCell ref="AD241:AO241"/>
    <mergeCell ref="AP241:AP244"/>
    <mergeCell ref="AD242:AI242"/>
    <mergeCell ref="B235:F235"/>
    <mergeCell ref="B236:F236"/>
    <mergeCell ref="A238:AT238"/>
    <mergeCell ref="A239:AT239"/>
    <mergeCell ref="AD224:AD225"/>
    <mergeCell ref="AE224:AF224"/>
    <mergeCell ref="AG224:AH224"/>
    <mergeCell ref="AI224:AI225"/>
    <mergeCell ref="J224:J225"/>
    <mergeCell ref="K224:L224"/>
    <mergeCell ref="M224:N224"/>
    <mergeCell ref="O224:O225"/>
    <mergeCell ref="P224:P225"/>
    <mergeCell ref="Q224:R224"/>
    <mergeCell ref="AS222:AS225"/>
    <mergeCell ref="AT222:AT225"/>
    <mergeCell ref="D223:D225"/>
    <mergeCell ref="E223:E225"/>
    <mergeCell ref="F223:F225"/>
    <mergeCell ref="G223:G225"/>
    <mergeCell ref="H223:H225"/>
    <mergeCell ref="J223:O223"/>
    <mergeCell ref="AC222:AC225"/>
    <mergeCell ref="AD222:AO222"/>
    <mergeCell ref="AP222:AP225"/>
    <mergeCell ref="S224:T224"/>
    <mergeCell ref="U224:U225"/>
    <mergeCell ref="AD223:AI223"/>
    <mergeCell ref="AJ223:AO223"/>
    <mergeCell ref="AM224:AN224"/>
    <mergeCell ref="AO224:AO225"/>
    <mergeCell ref="A220:AT220"/>
    <mergeCell ref="A221:A223"/>
    <mergeCell ref="B221:B225"/>
    <mergeCell ref="C221:V221"/>
    <mergeCell ref="W221:AP221"/>
    <mergeCell ref="AQ221:AR221"/>
    <mergeCell ref="AS221:AT221"/>
    <mergeCell ref="C222:C225"/>
    <mergeCell ref="D222:H222"/>
    <mergeCell ref="I222:I225"/>
    <mergeCell ref="J222:U222"/>
    <mergeCell ref="V222:V225"/>
    <mergeCell ref="W222:W225"/>
    <mergeCell ref="AQ222:AQ225"/>
    <mergeCell ref="AR222:AR225"/>
    <mergeCell ref="Y223:Y225"/>
    <mergeCell ref="Z223:Z225"/>
    <mergeCell ref="AA223:AA225"/>
    <mergeCell ref="AB223:AB225"/>
    <mergeCell ref="AJ224:AJ225"/>
    <mergeCell ref="AK224:AL224"/>
    <mergeCell ref="P223:U223"/>
    <mergeCell ref="X223:X225"/>
    <mergeCell ref="X222:AB222"/>
    <mergeCell ref="B216:F216"/>
    <mergeCell ref="B217:F217"/>
    <mergeCell ref="J187:J188"/>
    <mergeCell ref="K187:L187"/>
    <mergeCell ref="M187:N187"/>
    <mergeCell ref="O187:O188"/>
    <mergeCell ref="P187:P188"/>
    <mergeCell ref="Q187:R187"/>
    <mergeCell ref="A219:AT219"/>
    <mergeCell ref="AJ186:AO186"/>
    <mergeCell ref="AD187:AD188"/>
    <mergeCell ref="AE187:AF187"/>
    <mergeCell ref="AG187:AH187"/>
    <mergeCell ref="AI187:AI188"/>
    <mergeCell ref="AJ187:AJ188"/>
    <mergeCell ref="P186:U186"/>
    <mergeCell ref="X186:X188"/>
    <mergeCell ref="Y186:Y188"/>
    <mergeCell ref="Z186:Z188"/>
    <mergeCell ref="AA186:AA188"/>
    <mergeCell ref="AB186:AB188"/>
    <mergeCell ref="S187:T187"/>
    <mergeCell ref="U187:U188"/>
    <mergeCell ref="V185:V188"/>
    <mergeCell ref="W185:W188"/>
    <mergeCell ref="X185:AB185"/>
    <mergeCell ref="AK187:AL187"/>
    <mergeCell ref="AM187:AN187"/>
    <mergeCell ref="AO187:AO188"/>
    <mergeCell ref="A184:A186"/>
    <mergeCell ref="B184:B188"/>
    <mergeCell ref="C184:V184"/>
    <mergeCell ref="W184:AP184"/>
    <mergeCell ref="AQ184:AR184"/>
    <mergeCell ref="AS184:AT184"/>
    <mergeCell ref="C185:C188"/>
    <mergeCell ref="D185:H185"/>
    <mergeCell ref="I185:I188"/>
    <mergeCell ref="J185:U185"/>
    <mergeCell ref="AQ185:AQ188"/>
    <mergeCell ref="AR185:AR188"/>
    <mergeCell ref="AS185:AS188"/>
    <mergeCell ref="AT185:AT188"/>
    <mergeCell ref="D186:D188"/>
    <mergeCell ref="E186:E188"/>
    <mergeCell ref="F186:F188"/>
    <mergeCell ref="G186:G188"/>
    <mergeCell ref="H186:H188"/>
    <mergeCell ref="J186:O186"/>
    <mergeCell ref="AC185:AC188"/>
    <mergeCell ref="AD185:AO185"/>
    <mergeCell ref="AP185:AP188"/>
    <mergeCell ref="AD186:AI186"/>
    <mergeCell ref="B179:F179"/>
    <mergeCell ref="B180:F180"/>
    <mergeCell ref="A182:AT182"/>
    <mergeCell ref="A183:AT183"/>
    <mergeCell ref="AD142:AD143"/>
    <mergeCell ref="AE142:AF142"/>
    <mergeCell ref="AG142:AH142"/>
    <mergeCell ref="AI142:AI143"/>
    <mergeCell ref="J142:J143"/>
    <mergeCell ref="K142:L142"/>
    <mergeCell ref="M142:N142"/>
    <mergeCell ref="O142:O143"/>
    <mergeCell ref="P142:P143"/>
    <mergeCell ref="Q142:R142"/>
    <mergeCell ref="AS140:AS143"/>
    <mergeCell ref="AT140:AT143"/>
    <mergeCell ref="D141:D143"/>
    <mergeCell ref="E141:E143"/>
    <mergeCell ref="F141:F143"/>
    <mergeCell ref="G141:G143"/>
    <mergeCell ref="H141:H143"/>
    <mergeCell ref="J141:O141"/>
    <mergeCell ref="AC140:AC143"/>
    <mergeCell ref="AD140:AO140"/>
    <mergeCell ref="AP140:AP143"/>
    <mergeCell ref="S142:T142"/>
    <mergeCell ref="U142:U143"/>
    <mergeCell ref="AD141:AI141"/>
    <mergeCell ref="AJ141:AO141"/>
    <mergeCell ref="AM142:AN142"/>
    <mergeCell ref="AO142:AO143"/>
    <mergeCell ref="A138:AT138"/>
    <mergeCell ref="A139:A141"/>
    <mergeCell ref="B139:B143"/>
    <mergeCell ref="C139:V139"/>
    <mergeCell ref="W139:AP139"/>
    <mergeCell ref="AQ139:AR139"/>
    <mergeCell ref="AS139:AT139"/>
    <mergeCell ref="C140:C143"/>
    <mergeCell ref="D140:H140"/>
    <mergeCell ref="I140:I143"/>
    <mergeCell ref="J140:U140"/>
    <mergeCell ref="V140:V143"/>
    <mergeCell ref="W140:W143"/>
    <mergeCell ref="AQ140:AQ143"/>
    <mergeCell ref="AR140:AR143"/>
    <mergeCell ref="Y141:Y143"/>
    <mergeCell ref="Z141:Z143"/>
    <mergeCell ref="AA141:AA143"/>
    <mergeCell ref="AB141:AB143"/>
    <mergeCell ref="AJ142:AJ143"/>
    <mergeCell ref="AK142:AL142"/>
    <mergeCell ref="P141:U141"/>
    <mergeCell ref="X141:X143"/>
    <mergeCell ref="X140:AB140"/>
    <mergeCell ref="B134:F134"/>
    <mergeCell ref="B135:F135"/>
    <mergeCell ref="J112:J113"/>
    <mergeCell ref="K112:L112"/>
    <mergeCell ref="M112:N112"/>
    <mergeCell ref="O112:O113"/>
    <mergeCell ref="P112:P113"/>
    <mergeCell ref="Q112:R112"/>
    <mergeCell ref="A137:AT137"/>
    <mergeCell ref="AJ111:AO111"/>
    <mergeCell ref="AD112:AD113"/>
    <mergeCell ref="AE112:AF112"/>
    <mergeCell ref="AG112:AH112"/>
    <mergeCell ref="AI112:AI113"/>
    <mergeCell ref="AJ112:AJ113"/>
    <mergeCell ref="P111:U111"/>
    <mergeCell ref="X111:X113"/>
    <mergeCell ref="Y111:Y113"/>
    <mergeCell ref="Z111:Z113"/>
    <mergeCell ref="AA111:AA113"/>
    <mergeCell ref="AB111:AB113"/>
    <mergeCell ref="S112:T112"/>
    <mergeCell ref="U112:U113"/>
    <mergeCell ref="V110:V113"/>
    <mergeCell ref="W110:W113"/>
    <mergeCell ref="X110:AB110"/>
    <mergeCell ref="AK112:AL112"/>
    <mergeCell ref="AM112:AN112"/>
    <mergeCell ref="AO112:AO113"/>
    <mergeCell ref="A109:A111"/>
    <mergeCell ref="B109:B113"/>
    <mergeCell ref="C109:V109"/>
    <mergeCell ref="W109:AP109"/>
    <mergeCell ref="AQ109:AR109"/>
    <mergeCell ref="AS109:AT109"/>
    <mergeCell ref="C110:C113"/>
    <mergeCell ref="D110:H110"/>
    <mergeCell ref="I110:I113"/>
    <mergeCell ref="J110:U110"/>
    <mergeCell ref="AQ110:AQ113"/>
    <mergeCell ref="AR110:AR113"/>
    <mergeCell ref="AS110:AS113"/>
    <mergeCell ref="AT110:AT113"/>
    <mergeCell ref="D111:D113"/>
    <mergeCell ref="E111:E113"/>
    <mergeCell ref="F111:F113"/>
    <mergeCell ref="G111:G113"/>
    <mergeCell ref="H111:H113"/>
    <mergeCell ref="J111:O111"/>
    <mergeCell ref="AC110:AC113"/>
    <mergeCell ref="AD110:AO110"/>
    <mergeCell ref="AP110:AP113"/>
    <mergeCell ref="AD111:AI111"/>
    <mergeCell ref="B104:F104"/>
    <mergeCell ref="B105:F105"/>
    <mergeCell ref="A107:AT107"/>
    <mergeCell ref="A108:AT108"/>
    <mergeCell ref="AD71:AD72"/>
    <mergeCell ref="AE71:AF71"/>
    <mergeCell ref="AG71:AH71"/>
    <mergeCell ref="AI71:AI72"/>
    <mergeCell ref="J71:J72"/>
    <mergeCell ref="K71:L71"/>
    <mergeCell ref="M71:N71"/>
    <mergeCell ref="O71:O72"/>
    <mergeCell ref="P71:P72"/>
    <mergeCell ref="Q71:R71"/>
    <mergeCell ref="AS69:AS72"/>
    <mergeCell ref="AT69:AT72"/>
    <mergeCell ref="D70:D72"/>
    <mergeCell ref="E70:E72"/>
    <mergeCell ref="F70:F72"/>
    <mergeCell ref="G70:G72"/>
    <mergeCell ref="H70:H72"/>
    <mergeCell ref="J70:O70"/>
    <mergeCell ref="AC69:AC72"/>
    <mergeCell ref="AD69:AO69"/>
    <mergeCell ref="AP69:AP72"/>
    <mergeCell ref="S71:T71"/>
    <mergeCell ref="U71:U72"/>
    <mergeCell ref="AD70:AI70"/>
    <mergeCell ref="AJ70:AO70"/>
    <mergeCell ref="AM71:AN71"/>
    <mergeCell ref="AO71:AO72"/>
    <mergeCell ref="A67:AT67"/>
    <mergeCell ref="A68:A70"/>
    <mergeCell ref="B68:B72"/>
    <mergeCell ref="C68:V68"/>
    <mergeCell ref="W68:AP68"/>
    <mergeCell ref="AQ68:AR68"/>
    <mergeCell ref="AS68:AT68"/>
    <mergeCell ref="C69:C72"/>
    <mergeCell ref="D69:H69"/>
    <mergeCell ref="I69:I72"/>
    <mergeCell ref="J69:U69"/>
    <mergeCell ref="V69:V72"/>
    <mergeCell ref="W69:W72"/>
    <mergeCell ref="AQ69:AQ72"/>
    <mergeCell ref="AR69:AR72"/>
    <mergeCell ref="Y70:Y72"/>
    <mergeCell ref="Z70:Z72"/>
    <mergeCell ref="AA70:AA72"/>
    <mergeCell ref="AB70:AB72"/>
    <mergeCell ref="AJ71:AJ72"/>
    <mergeCell ref="AK71:AL71"/>
    <mergeCell ref="P70:U70"/>
    <mergeCell ref="X70:X72"/>
    <mergeCell ref="X69:AB69"/>
    <mergeCell ref="B63:F63"/>
    <mergeCell ref="B64:F64"/>
    <mergeCell ref="J38:J39"/>
    <mergeCell ref="K38:L38"/>
    <mergeCell ref="M38:N38"/>
    <mergeCell ref="O38:O39"/>
    <mergeCell ref="P38:P39"/>
    <mergeCell ref="Q38:R38"/>
    <mergeCell ref="A66:AT66"/>
    <mergeCell ref="AJ37:AO37"/>
    <mergeCell ref="AD38:AD39"/>
    <mergeCell ref="AE38:AF38"/>
    <mergeCell ref="AG38:AH38"/>
    <mergeCell ref="AI38:AI39"/>
    <mergeCell ref="AJ38:AJ39"/>
    <mergeCell ref="P37:U37"/>
    <mergeCell ref="X37:X39"/>
    <mergeCell ref="Y37:Y39"/>
    <mergeCell ref="Z37:Z39"/>
    <mergeCell ref="AA37:AA39"/>
    <mergeCell ref="AB37:AB39"/>
    <mergeCell ref="S38:T38"/>
    <mergeCell ref="U38:U39"/>
    <mergeCell ref="V36:V39"/>
    <mergeCell ref="W36:W39"/>
    <mergeCell ref="X36:AB36"/>
    <mergeCell ref="AK38:AL38"/>
    <mergeCell ref="AM38:AN38"/>
    <mergeCell ref="AO38:AO39"/>
    <mergeCell ref="A35:A37"/>
    <mergeCell ref="B35:B39"/>
    <mergeCell ref="C35:V35"/>
    <mergeCell ref="W35:AP35"/>
    <mergeCell ref="AQ35:AR35"/>
    <mergeCell ref="AS35:AT35"/>
    <mergeCell ref="C36:C39"/>
    <mergeCell ref="D36:H36"/>
    <mergeCell ref="I36:I39"/>
    <mergeCell ref="J36:U36"/>
    <mergeCell ref="AQ36:AQ39"/>
    <mergeCell ref="AR36:AR39"/>
    <mergeCell ref="AS36:AS39"/>
    <mergeCell ref="AT36:AT39"/>
    <mergeCell ref="D37:D39"/>
    <mergeCell ref="E37:E39"/>
    <mergeCell ref="F37:F39"/>
    <mergeCell ref="G37:G39"/>
    <mergeCell ref="H37:H39"/>
    <mergeCell ref="J37:O37"/>
    <mergeCell ref="AC36:AC39"/>
    <mergeCell ref="AD36:AO36"/>
    <mergeCell ref="AP36:AP39"/>
    <mergeCell ref="AD37:AI37"/>
    <mergeCell ref="B31:F31"/>
    <mergeCell ref="A33:AT33"/>
    <mergeCell ref="A34:AT34"/>
    <mergeCell ref="AD10:AD11"/>
    <mergeCell ref="AE10:AF10"/>
    <mergeCell ref="AG10:AH10"/>
    <mergeCell ref="AI10:AI11"/>
    <mergeCell ref="O10:O11"/>
    <mergeCell ref="P10:P11"/>
    <mergeCell ref="Q10:R10"/>
    <mergeCell ref="B30:F30"/>
    <mergeCell ref="AS8:AS11"/>
    <mergeCell ref="AT8:AT11"/>
    <mergeCell ref="D9:D11"/>
    <mergeCell ref="E9:E11"/>
    <mergeCell ref="F9:F11"/>
    <mergeCell ref="G9:G11"/>
    <mergeCell ref="H9:H11"/>
    <mergeCell ref="J9:O9"/>
    <mergeCell ref="AJ10:AJ11"/>
    <mergeCell ref="AK10:AL10"/>
    <mergeCell ref="X9:X11"/>
    <mergeCell ref="X8:AB8"/>
    <mergeCell ref="AC8:AC11"/>
    <mergeCell ref="AB9:AB11"/>
    <mergeCell ref="AD8:AO8"/>
    <mergeCell ref="J10:J11"/>
    <mergeCell ref="K10:L10"/>
    <mergeCell ref="M10:N10"/>
    <mergeCell ref="AP8:AP11"/>
    <mergeCell ref="S10:T10"/>
    <mergeCell ref="U10:U11"/>
    <mergeCell ref="AD9:AI9"/>
    <mergeCell ref="AJ9:AO9"/>
    <mergeCell ref="C8:C11"/>
    <mergeCell ref="D8:H8"/>
    <mergeCell ref="I8:I11"/>
    <mergeCell ref="J8:U8"/>
    <mergeCell ref="V8:V11"/>
    <mergeCell ref="B1:F1"/>
    <mergeCell ref="B2:F2"/>
    <mergeCell ref="A5:AT5"/>
    <mergeCell ref="A6:AT6"/>
    <mergeCell ref="A7:A9"/>
    <mergeCell ref="B7:B11"/>
    <mergeCell ref="C7:V7"/>
    <mergeCell ref="W7:AP7"/>
    <mergeCell ref="AQ7:AR7"/>
    <mergeCell ref="AS7:AT7"/>
    <mergeCell ref="AQ8:AQ11"/>
    <mergeCell ref="W8:W11"/>
    <mergeCell ref="P9:U9"/>
    <mergeCell ref="AM10:AN10"/>
    <mergeCell ref="AO10:AO11"/>
    <mergeCell ref="AR8:AR11"/>
    <mergeCell ref="Y9:Y11"/>
    <mergeCell ref="Z9:Z11"/>
    <mergeCell ref="AA9:AA11"/>
  </mergeCells>
  <pageMargins left="0.22" right="0.19685039370078741" top="0.56000000000000005" bottom="0.74803149606299213" header="0.31496062992125984" footer="0.31496062992125984"/>
  <pageSetup paperSize="9" scale="83" orientation="landscape"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I7" sqref="I7"/>
    </sheetView>
  </sheetViews>
  <sheetFormatPr defaultColWidth="11" defaultRowHeight="18"/>
  <cols>
    <col min="1" max="1" width="7.59765625" style="134" customWidth="1"/>
    <col min="2" max="2" width="22.5" style="134" customWidth="1"/>
    <col min="3" max="4" width="17.796875" style="134" customWidth="1"/>
    <col min="5" max="5" width="15.59765625" style="134" customWidth="1"/>
    <col min="6" max="6" width="18.69921875" style="134" customWidth="1"/>
    <col min="7" max="7" width="11" style="134" customWidth="1"/>
    <col min="8" max="8" width="15.8984375" style="134" hidden="1" customWidth="1"/>
    <col min="9" max="9" width="10.296875" style="135" customWidth="1"/>
    <col min="10" max="10" width="11" style="134"/>
    <col min="11" max="11" width="10.59765625" style="134" customWidth="1"/>
    <col min="12" max="16384" width="11" style="134"/>
  </cols>
  <sheetData>
    <row r="1" spans="1:11" ht="39" customHeight="1">
      <c r="A1" s="566" t="s">
        <v>471</v>
      </c>
      <c r="B1" s="566"/>
      <c r="C1" s="566"/>
      <c r="D1" s="566"/>
      <c r="E1" s="566"/>
      <c r="F1" s="566"/>
      <c r="G1" s="566"/>
    </row>
    <row r="2" spans="1:11" ht="19.5" customHeight="1">
      <c r="A2" s="567" t="s">
        <v>149</v>
      </c>
      <c r="B2" s="567"/>
      <c r="C2" s="567"/>
      <c r="D2" s="567"/>
      <c r="E2" s="567"/>
      <c r="F2" s="567"/>
      <c r="G2" s="567"/>
    </row>
    <row r="3" spans="1:11" ht="30" customHeight="1">
      <c r="A3" s="568" t="s">
        <v>0</v>
      </c>
      <c r="B3" s="570" t="s">
        <v>22</v>
      </c>
      <c r="C3" s="572" t="s">
        <v>150</v>
      </c>
      <c r="D3" s="573"/>
      <c r="E3" s="572" t="s">
        <v>151</v>
      </c>
      <c r="F3" s="573"/>
      <c r="G3" s="570" t="s">
        <v>152</v>
      </c>
    </row>
    <row r="4" spans="1:11" ht="74.25" customHeight="1">
      <c r="A4" s="569"/>
      <c r="B4" s="571"/>
      <c r="C4" s="329" t="s">
        <v>153</v>
      </c>
      <c r="D4" s="329" t="s">
        <v>154</v>
      </c>
      <c r="E4" s="330" t="s">
        <v>153</v>
      </c>
      <c r="F4" s="330" t="s">
        <v>155</v>
      </c>
      <c r="G4" s="571"/>
    </row>
    <row r="5" spans="1:11" ht="19.5" customHeight="1">
      <c r="A5" s="136">
        <v>1</v>
      </c>
      <c r="B5" s="137" t="s">
        <v>18</v>
      </c>
      <c r="C5" s="138">
        <v>26.200000000000003</v>
      </c>
      <c r="D5" s="139">
        <v>1762</v>
      </c>
      <c r="E5" s="140">
        <f>+'[3]Chi tiet'!F6</f>
        <v>16.925000000000001</v>
      </c>
      <c r="F5" s="141">
        <f t="shared" ref="F5:F18" si="0">+E5/C5</f>
        <v>0.64599236641221369</v>
      </c>
      <c r="G5" s="142"/>
      <c r="H5" s="143">
        <v>0.52</v>
      </c>
      <c r="I5" s="144"/>
      <c r="J5" s="145"/>
    </row>
    <row r="6" spans="1:11" ht="19.5" customHeight="1">
      <c r="A6" s="146">
        <v>2</v>
      </c>
      <c r="B6" s="147" t="s">
        <v>24</v>
      </c>
      <c r="C6" s="148">
        <v>0.9</v>
      </c>
      <c r="D6" s="149">
        <v>57</v>
      </c>
      <c r="E6" s="150">
        <f>+'[3]Chi tiet'!F28</f>
        <v>0.60000000000000009</v>
      </c>
      <c r="F6" s="151">
        <f t="shared" si="0"/>
        <v>0.66666666666666674</v>
      </c>
      <c r="G6" s="152"/>
      <c r="H6" s="153"/>
      <c r="I6" s="144"/>
      <c r="J6" s="145"/>
    </row>
    <row r="7" spans="1:11" ht="19.5" customHeight="1">
      <c r="A7" s="146">
        <v>3</v>
      </c>
      <c r="B7" s="147" t="s">
        <v>17</v>
      </c>
      <c r="C7" s="148">
        <v>36.5</v>
      </c>
      <c r="D7" s="149">
        <v>2505</v>
      </c>
      <c r="E7" s="150">
        <f>+'[3]Chi tiet'!F36</f>
        <v>24.76</v>
      </c>
      <c r="F7" s="151">
        <f t="shared" si="0"/>
        <v>0.67835616438356172</v>
      </c>
      <c r="G7" s="152"/>
      <c r="H7" s="153">
        <v>1.7</v>
      </c>
      <c r="I7" s="144"/>
      <c r="J7" s="145"/>
    </row>
    <row r="8" spans="1:11" ht="19.5" customHeight="1">
      <c r="A8" s="146">
        <v>4</v>
      </c>
      <c r="B8" s="154" t="s">
        <v>10</v>
      </c>
      <c r="C8" s="148">
        <v>5</v>
      </c>
      <c r="D8" s="149">
        <v>362.1</v>
      </c>
      <c r="E8" s="150">
        <f>+'[3]Chi tiet'!F64</f>
        <v>2.2149999999999999</v>
      </c>
      <c r="F8" s="151">
        <f t="shared" si="0"/>
        <v>0.44299999999999995</v>
      </c>
      <c r="G8" s="152"/>
      <c r="H8" s="153"/>
      <c r="I8" s="144"/>
      <c r="J8" s="145"/>
    </row>
    <row r="9" spans="1:11" ht="19.5" customHeight="1">
      <c r="A9" s="146">
        <v>5</v>
      </c>
      <c r="B9" s="147" t="s">
        <v>21</v>
      </c>
      <c r="C9" s="148">
        <v>30</v>
      </c>
      <c r="D9" s="149">
        <v>2087</v>
      </c>
      <c r="E9" s="150">
        <f>+'[3]Chi tiet'!F81</f>
        <v>26</v>
      </c>
      <c r="F9" s="151">
        <f t="shared" si="0"/>
        <v>0.8666666666666667</v>
      </c>
      <c r="G9" s="152"/>
      <c r="H9" s="153">
        <v>5.3150000000000004</v>
      </c>
      <c r="I9" s="144"/>
      <c r="J9" s="145"/>
      <c r="K9" s="155"/>
    </row>
    <row r="10" spans="1:11" ht="19.5" customHeight="1">
      <c r="A10" s="146">
        <v>6</v>
      </c>
      <c r="B10" s="147" t="s">
        <v>13</v>
      </c>
      <c r="C10" s="148">
        <v>22</v>
      </c>
      <c r="D10" s="149">
        <v>2398</v>
      </c>
      <c r="E10" s="150">
        <f>+'[3]Chi tiet'!F113</f>
        <v>13.860000000000001</v>
      </c>
      <c r="F10" s="151">
        <f t="shared" si="0"/>
        <v>0.63</v>
      </c>
      <c r="G10" s="152"/>
      <c r="H10" s="153">
        <v>0.3</v>
      </c>
      <c r="I10" s="144"/>
      <c r="J10" s="145"/>
    </row>
    <row r="11" spans="1:11" ht="19.5" customHeight="1">
      <c r="A11" s="146">
        <v>7</v>
      </c>
      <c r="B11" s="147" t="s">
        <v>20</v>
      </c>
      <c r="C11" s="148">
        <v>3.9</v>
      </c>
      <c r="D11" s="149">
        <v>327.9</v>
      </c>
      <c r="E11" s="150">
        <f>+'[3]Chi tiet'!F215</f>
        <v>1.1600000000000001</v>
      </c>
      <c r="F11" s="151">
        <f t="shared" si="0"/>
        <v>0.29743589743589749</v>
      </c>
      <c r="G11" s="152"/>
      <c r="H11" s="153"/>
      <c r="I11" s="144"/>
      <c r="J11" s="145"/>
    </row>
    <row r="12" spans="1:11" ht="19.5" customHeight="1">
      <c r="A12" s="146">
        <v>8</v>
      </c>
      <c r="B12" s="147" t="s">
        <v>16</v>
      </c>
      <c r="C12" s="148">
        <v>6.7</v>
      </c>
      <c r="D12" s="149">
        <v>638.70000000000005</v>
      </c>
      <c r="E12" s="150">
        <f>+'[3]Chi tiet'!F165</f>
        <v>4.8959999999999999</v>
      </c>
      <c r="F12" s="151">
        <f t="shared" si="0"/>
        <v>0.73074626865671644</v>
      </c>
      <c r="G12" s="152"/>
      <c r="H12" s="153"/>
      <c r="I12" s="144"/>
      <c r="J12" s="145"/>
    </row>
    <row r="13" spans="1:11" ht="19.5" customHeight="1">
      <c r="A13" s="146">
        <v>9</v>
      </c>
      <c r="B13" s="147" t="s">
        <v>15</v>
      </c>
      <c r="C13" s="148">
        <v>9.5</v>
      </c>
      <c r="D13" s="149">
        <v>603</v>
      </c>
      <c r="E13" s="150">
        <f>+'[3]Chi tiet'!F137</f>
        <v>6.07</v>
      </c>
      <c r="F13" s="151">
        <f t="shared" si="0"/>
        <v>0.63894736842105271</v>
      </c>
      <c r="G13" s="152"/>
      <c r="H13" s="153"/>
      <c r="I13" s="144"/>
      <c r="J13" s="145"/>
    </row>
    <row r="14" spans="1:11" ht="19.5" customHeight="1">
      <c r="A14" s="146">
        <v>10</v>
      </c>
      <c r="B14" s="147" t="s">
        <v>19</v>
      </c>
      <c r="C14" s="148">
        <v>12</v>
      </c>
      <c r="D14" s="149">
        <v>727</v>
      </c>
      <c r="E14" s="150">
        <f>+'[3]Chi tiet'!F183</f>
        <v>11.799999999999999</v>
      </c>
      <c r="F14" s="151">
        <f t="shared" si="0"/>
        <v>0.98333333333333328</v>
      </c>
      <c r="G14" s="152"/>
      <c r="H14" s="153">
        <v>1.45</v>
      </c>
      <c r="I14" s="144"/>
      <c r="J14" s="145"/>
    </row>
    <row r="15" spans="1:11" ht="19.5" customHeight="1">
      <c r="A15" s="146">
        <v>11</v>
      </c>
      <c r="B15" s="147" t="s">
        <v>14</v>
      </c>
      <c r="C15" s="148">
        <v>6</v>
      </c>
      <c r="D15" s="149">
        <v>541</v>
      </c>
      <c r="E15" s="150">
        <f>+'[3]Chi tiet'!F221</f>
        <v>0.57000000000000006</v>
      </c>
      <c r="F15" s="151">
        <f t="shared" si="0"/>
        <v>9.5000000000000015E-2</v>
      </c>
      <c r="G15" s="152"/>
      <c r="H15" s="153"/>
      <c r="I15" s="144"/>
      <c r="J15" s="145"/>
    </row>
    <row r="16" spans="1:11" ht="19.5" customHeight="1">
      <c r="A16" s="146">
        <v>12</v>
      </c>
      <c r="B16" s="147" t="s">
        <v>12</v>
      </c>
      <c r="C16" s="148">
        <v>26.6</v>
      </c>
      <c r="D16" s="149">
        <v>1414</v>
      </c>
      <c r="E16" s="150">
        <f>+'[3]Chi tiet'!F235</f>
        <v>15.260000000000002</v>
      </c>
      <c r="F16" s="151">
        <f t="shared" si="0"/>
        <v>0.5736842105263158</v>
      </c>
      <c r="G16" s="152"/>
      <c r="H16" s="153">
        <v>0.2</v>
      </c>
      <c r="I16" s="144"/>
      <c r="J16" s="145"/>
    </row>
    <row r="17" spans="1:11" ht="19.5" customHeight="1">
      <c r="A17" s="146">
        <v>13</v>
      </c>
      <c r="B17" s="147" t="s">
        <v>11</v>
      </c>
      <c r="C17" s="148">
        <v>10</v>
      </c>
      <c r="D17" s="149">
        <v>634</v>
      </c>
      <c r="E17" s="150">
        <f>+'[3]Chi tiet'!F257</f>
        <v>5</v>
      </c>
      <c r="F17" s="156">
        <f t="shared" si="0"/>
        <v>0.5</v>
      </c>
      <c r="G17" s="157"/>
      <c r="H17" s="153"/>
      <c r="I17" s="144"/>
      <c r="J17" s="145"/>
    </row>
    <row r="18" spans="1:11" ht="19.5" customHeight="1">
      <c r="A18" s="562" t="s">
        <v>1</v>
      </c>
      <c r="B18" s="563"/>
      <c r="C18" s="158">
        <f>SUM(C5:C17)</f>
        <v>195.29999999999998</v>
      </c>
      <c r="D18" s="159">
        <f>SUM(D5:D17)</f>
        <v>14056.7</v>
      </c>
      <c r="E18" s="160">
        <f>+SUM(E5:E17)</f>
        <v>129.11599999999999</v>
      </c>
      <c r="F18" s="161">
        <f t="shared" si="0"/>
        <v>0.66111623143881204</v>
      </c>
      <c r="G18" s="160"/>
      <c r="H18" s="162">
        <f>+SUM(H5:H17)</f>
        <v>9.4849999999999994</v>
      </c>
      <c r="J18" s="163"/>
    </row>
    <row r="19" spans="1:11" ht="13.5" customHeight="1">
      <c r="A19" s="164"/>
      <c r="B19" s="164"/>
      <c r="C19" s="165"/>
      <c r="D19" s="166"/>
      <c r="E19" s="167"/>
      <c r="F19" s="167"/>
      <c r="G19" s="167"/>
      <c r="H19" s="145"/>
    </row>
    <row r="20" spans="1:11" ht="18" customHeight="1">
      <c r="A20" s="168"/>
      <c r="B20" s="168"/>
      <c r="C20" s="168"/>
      <c r="D20" s="168"/>
      <c r="E20" s="168"/>
      <c r="F20" s="168"/>
      <c r="G20" s="168"/>
    </row>
    <row r="21" spans="1:11" ht="35.25" customHeight="1">
      <c r="A21" s="168"/>
      <c r="B21" s="168"/>
      <c r="C21" s="168"/>
      <c r="D21" s="168"/>
      <c r="E21" s="168"/>
      <c r="F21" s="168"/>
      <c r="G21" s="168"/>
    </row>
    <row r="22" spans="1:11" ht="45.75" customHeight="1">
      <c r="A22" s="168"/>
      <c r="B22" s="168"/>
      <c r="C22" s="168"/>
      <c r="D22" s="168"/>
      <c r="E22" s="168"/>
      <c r="F22" s="168"/>
      <c r="G22" s="168"/>
    </row>
    <row r="23" spans="1:11" ht="30.75" customHeight="1">
      <c r="A23" s="168"/>
      <c r="B23" s="168"/>
      <c r="C23" s="168"/>
      <c r="D23" s="168"/>
      <c r="E23" s="168"/>
      <c r="F23" s="168"/>
      <c r="G23" s="168"/>
    </row>
    <row r="24" spans="1:11" ht="20.25" customHeight="1">
      <c r="A24" s="168"/>
      <c r="B24" s="168"/>
      <c r="C24" s="168"/>
      <c r="D24" s="168"/>
      <c r="E24" s="168"/>
      <c r="F24" s="168"/>
      <c r="G24" s="168"/>
    </row>
    <row r="25" spans="1:11" ht="23.25" customHeight="1">
      <c r="A25" s="169"/>
      <c r="B25" s="169"/>
      <c r="C25" s="169"/>
      <c r="D25" s="169"/>
      <c r="E25" s="169"/>
      <c r="F25" s="169"/>
      <c r="G25" s="169"/>
    </row>
    <row r="26" spans="1:11" ht="32.25" customHeight="1">
      <c r="A26" s="169"/>
      <c r="B26" s="169"/>
      <c r="C26" s="169"/>
      <c r="D26" s="169"/>
      <c r="E26" s="169"/>
      <c r="F26" s="169"/>
      <c r="G26" s="169"/>
      <c r="H26" s="134">
        <f>4.56+1.053+0.71+1.15+1.5+0.4+0.5</f>
        <v>9.8729999999999993</v>
      </c>
    </row>
    <row r="27" spans="1:11" ht="48" customHeight="1">
      <c r="A27" s="169"/>
      <c r="B27" s="169"/>
      <c r="C27" s="169"/>
      <c r="D27" s="169"/>
      <c r="E27" s="169"/>
      <c r="F27" s="169"/>
      <c r="G27" s="169"/>
    </row>
    <row r="28" spans="1:11" ht="30.75" customHeight="1">
      <c r="A28" s="564"/>
      <c r="B28" s="564"/>
      <c r="C28" s="564"/>
      <c r="D28" s="564"/>
      <c r="E28" s="564"/>
      <c r="F28" s="564"/>
      <c r="G28" s="564"/>
      <c r="K28" s="170"/>
    </row>
    <row r="29" spans="1:11" ht="45" customHeight="1">
      <c r="A29" s="564"/>
      <c r="B29" s="564"/>
      <c r="C29" s="564"/>
      <c r="D29" s="564"/>
      <c r="E29" s="564"/>
      <c r="F29" s="564"/>
      <c r="G29" s="564"/>
    </row>
    <row r="30" spans="1:11" ht="30" customHeight="1">
      <c r="A30" s="565"/>
      <c r="B30" s="565"/>
      <c r="C30" s="565"/>
      <c r="D30" s="565"/>
      <c r="E30" s="565"/>
      <c r="F30" s="565"/>
      <c r="G30" s="565"/>
    </row>
  </sheetData>
  <mergeCells count="11">
    <mergeCell ref="A18:B18"/>
    <mergeCell ref="A28:G28"/>
    <mergeCell ref="A29:G29"/>
    <mergeCell ref="A30:G30"/>
    <mergeCell ref="A1:G1"/>
    <mergeCell ref="A2:G2"/>
    <mergeCell ref="A3:A4"/>
    <mergeCell ref="B3:B4"/>
    <mergeCell ref="C3:D3"/>
    <mergeCell ref="E3:F3"/>
    <mergeCell ref="G3:G4"/>
  </mergeCells>
  <pageMargins left="0.61" right="0.25" top="0.67" bottom="0.39" header="0.33" footer="0.2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workbookViewId="0">
      <selection activeCell="D4" sqref="D4:E4"/>
    </sheetView>
  </sheetViews>
  <sheetFormatPr defaultColWidth="9.09765625" defaultRowHeight="15.5"/>
  <cols>
    <col min="1" max="1" width="5.8984375" style="337" customWidth="1"/>
    <col min="2" max="2" width="22.59765625" style="337" customWidth="1"/>
    <col min="3" max="3" width="8.8984375" style="337" customWidth="1"/>
    <col min="4" max="4" width="11.09765625" style="337" customWidth="1"/>
    <col min="5" max="5" width="11.69921875" style="337" customWidth="1"/>
    <col min="6" max="6" width="10.3984375" style="337" customWidth="1"/>
    <col min="7" max="13" width="11.69921875" style="337" customWidth="1"/>
    <col min="14" max="14" width="10" style="337" customWidth="1"/>
    <col min="15" max="16384" width="9.09765625" style="337"/>
  </cols>
  <sheetData>
    <row r="1" spans="1:15" ht="38" customHeight="1">
      <c r="A1" s="576" t="s">
        <v>633</v>
      </c>
      <c r="B1" s="576"/>
      <c r="C1" s="576"/>
      <c r="D1" s="576"/>
      <c r="E1" s="576"/>
      <c r="F1" s="576"/>
      <c r="G1" s="576"/>
      <c r="H1" s="576"/>
      <c r="I1" s="576"/>
      <c r="J1" s="576"/>
      <c r="K1" s="576"/>
      <c r="L1" s="576"/>
      <c r="M1" s="576"/>
    </row>
    <row r="3" spans="1:15" ht="23.25" customHeight="1">
      <c r="A3" s="577" t="s">
        <v>0</v>
      </c>
      <c r="B3" s="577" t="s">
        <v>472</v>
      </c>
      <c r="C3" s="577" t="s">
        <v>473</v>
      </c>
      <c r="D3" s="580" t="s">
        <v>474</v>
      </c>
      <c r="E3" s="581"/>
      <c r="F3" s="581"/>
      <c r="G3" s="581"/>
      <c r="H3" s="581"/>
      <c r="I3" s="581"/>
      <c r="J3" s="581"/>
      <c r="K3" s="581"/>
      <c r="L3" s="581"/>
      <c r="M3" s="582"/>
    </row>
    <row r="4" spans="1:15" ht="37.5" customHeight="1">
      <c r="A4" s="578"/>
      <c r="B4" s="578"/>
      <c r="C4" s="578"/>
      <c r="D4" s="580" t="s">
        <v>475</v>
      </c>
      <c r="E4" s="582"/>
      <c r="F4" s="580" t="s">
        <v>476</v>
      </c>
      <c r="G4" s="582"/>
      <c r="H4" s="580" t="s">
        <v>477</v>
      </c>
      <c r="I4" s="582"/>
      <c r="J4" s="580" t="s">
        <v>478</v>
      </c>
      <c r="K4" s="582"/>
      <c r="L4" s="580" t="s">
        <v>479</v>
      </c>
      <c r="M4" s="582"/>
    </row>
    <row r="5" spans="1:15" s="339" customFormat="1" ht="33" customHeight="1">
      <c r="A5" s="579"/>
      <c r="B5" s="579"/>
      <c r="C5" s="579"/>
      <c r="D5" s="338" t="s">
        <v>480</v>
      </c>
      <c r="E5" s="338" t="s">
        <v>481</v>
      </c>
      <c r="F5" s="338" t="s">
        <v>480</v>
      </c>
      <c r="G5" s="338" t="s">
        <v>481</v>
      </c>
      <c r="H5" s="338" t="s">
        <v>480</v>
      </c>
      <c r="I5" s="338" t="s">
        <v>481</v>
      </c>
      <c r="J5" s="338" t="s">
        <v>480</v>
      </c>
      <c r="K5" s="338" t="s">
        <v>481</v>
      </c>
      <c r="L5" s="338" t="s">
        <v>480</v>
      </c>
      <c r="M5" s="338" t="s">
        <v>481</v>
      </c>
    </row>
    <row r="6" spans="1:15" ht="20.25" customHeight="1">
      <c r="A6" s="338">
        <v>1</v>
      </c>
      <c r="B6" s="459" t="s">
        <v>20</v>
      </c>
      <c r="C6" s="460">
        <f t="shared" ref="C6:C17" si="0">D6+F6+H6+J6+L6</f>
        <v>1</v>
      </c>
      <c r="D6" s="338">
        <v>1</v>
      </c>
      <c r="E6" s="461">
        <f>D6/C6*100</f>
        <v>100</v>
      </c>
      <c r="F6" s="462">
        <v>0</v>
      </c>
      <c r="G6" s="461">
        <v>0</v>
      </c>
      <c r="H6" s="463">
        <v>0</v>
      </c>
      <c r="I6" s="461">
        <f t="shared" ref="I6:I19" si="1">H6/C6*100</f>
        <v>0</v>
      </c>
      <c r="J6" s="463">
        <v>0</v>
      </c>
      <c r="K6" s="461">
        <f t="shared" ref="K6:K19" si="2">J6/C6*100</f>
        <v>0</v>
      </c>
      <c r="L6" s="338">
        <v>0</v>
      </c>
      <c r="M6" s="464">
        <v>0</v>
      </c>
    </row>
    <row r="7" spans="1:15" ht="20.25" customHeight="1">
      <c r="A7" s="338">
        <v>2</v>
      </c>
      <c r="B7" s="459" t="s">
        <v>10</v>
      </c>
      <c r="C7" s="460">
        <f t="shared" si="0"/>
        <v>6</v>
      </c>
      <c r="D7" s="338">
        <v>4</v>
      </c>
      <c r="E7" s="461">
        <f t="shared" ref="E7:E19" si="3">D7/C7*100</f>
        <v>66.666666666666657</v>
      </c>
      <c r="F7" s="462">
        <v>0</v>
      </c>
      <c r="G7" s="461">
        <v>0</v>
      </c>
      <c r="H7" s="463">
        <v>0</v>
      </c>
      <c r="I7" s="461">
        <f t="shared" si="1"/>
        <v>0</v>
      </c>
      <c r="J7" s="463">
        <v>2</v>
      </c>
      <c r="K7" s="461">
        <f t="shared" si="2"/>
        <v>33.333333333333329</v>
      </c>
      <c r="L7" s="338">
        <v>0</v>
      </c>
      <c r="M7" s="464">
        <v>0</v>
      </c>
    </row>
    <row r="8" spans="1:15" ht="20.25" customHeight="1">
      <c r="A8" s="338">
        <v>3</v>
      </c>
      <c r="B8" s="459" t="s">
        <v>15</v>
      </c>
      <c r="C8" s="460">
        <f t="shared" si="0"/>
        <v>27</v>
      </c>
      <c r="D8" s="338">
        <v>11</v>
      </c>
      <c r="E8" s="461">
        <f t="shared" si="3"/>
        <v>40.74074074074074</v>
      </c>
      <c r="F8" s="462">
        <v>10</v>
      </c>
      <c r="G8" s="461">
        <v>0</v>
      </c>
      <c r="H8" s="463">
        <v>6</v>
      </c>
      <c r="I8" s="461">
        <f t="shared" si="1"/>
        <v>22.222222222222221</v>
      </c>
      <c r="J8" s="463">
        <v>0</v>
      </c>
      <c r="K8" s="461">
        <f t="shared" si="2"/>
        <v>0</v>
      </c>
      <c r="L8" s="338">
        <v>0</v>
      </c>
      <c r="M8" s="464">
        <v>0</v>
      </c>
    </row>
    <row r="9" spans="1:15" s="470" customFormat="1" ht="20.25" customHeight="1">
      <c r="A9" s="465">
        <v>4</v>
      </c>
      <c r="B9" s="466" t="s">
        <v>16</v>
      </c>
      <c r="C9" s="467">
        <f t="shared" si="0"/>
        <v>17</v>
      </c>
      <c r="D9" s="465">
        <v>8</v>
      </c>
      <c r="E9" s="468">
        <f t="shared" si="3"/>
        <v>47.058823529411761</v>
      </c>
      <c r="F9" s="467">
        <v>1</v>
      </c>
      <c r="G9" s="468">
        <v>0</v>
      </c>
      <c r="H9" s="465">
        <v>5</v>
      </c>
      <c r="I9" s="468">
        <f t="shared" si="1"/>
        <v>29.411764705882355</v>
      </c>
      <c r="J9" s="465">
        <v>3</v>
      </c>
      <c r="K9" s="468">
        <f t="shared" si="2"/>
        <v>17.647058823529413</v>
      </c>
      <c r="L9" s="338">
        <v>0</v>
      </c>
      <c r="M9" s="469">
        <v>0</v>
      </c>
    </row>
    <row r="10" spans="1:15" s="470" customFormat="1" ht="20.25" customHeight="1">
      <c r="A10" s="465">
        <v>5</v>
      </c>
      <c r="B10" s="466" t="s">
        <v>14</v>
      </c>
      <c r="C10" s="467">
        <f t="shared" si="0"/>
        <v>13</v>
      </c>
      <c r="D10" s="465">
        <v>4</v>
      </c>
      <c r="E10" s="468">
        <f t="shared" si="3"/>
        <v>30.76923076923077</v>
      </c>
      <c r="F10" s="467">
        <v>0</v>
      </c>
      <c r="G10" s="468">
        <v>0</v>
      </c>
      <c r="H10" s="465">
        <v>8</v>
      </c>
      <c r="I10" s="468">
        <f t="shared" si="1"/>
        <v>61.53846153846154</v>
      </c>
      <c r="J10" s="465">
        <v>1</v>
      </c>
      <c r="K10" s="468">
        <f t="shared" si="2"/>
        <v>7.6923076923076925</v>
      </c>
      <c r="L10" s="338">
        <v>0</v>
      </c>
      <c r="M10" s="469">
        <v>0</v>
      </c>
    </row>
    <row r="11" spans="1:15" ht="20.25" customHeight="1">
      <c r="A11" s="338">
        <v>6</v>
      </c>
      <c r="B11" s="459" t="s">
        <v>17</v>
      </c>
      <c r="C11" s="460">
        <f t="shared" si="0"/>
        <v>25</v>
      </c>
      <c r="D11" s="338">
        <v>9</v>
      </c>
      <c r="E11" s="461">
        <f t="shared" si="3"/>
        <v>36</v>
      </c>
      <c r="F11" s="462">
        <v>3</v>
      </c>
      <c r="G11" s="461">
        <v>0</v>
      </c>
      <c r="H11" s="463">
        <v>8</v>
      </c>
      <c r="I11" s="461">
        <f t="shared" si="1"/>
        <v>32</v>
      </c>
      <c r="J11" s="463">
        <v>5</v>
      </c>
      <c r="K11" s="461">
        <f t="shared" si="2"/>
        <v>20</v>
      </c>
      <c r="L11" s="338">
        <v>0</v>
      </c>
      <c r="M11" s="464">
        <v>0</v>
      </c>
    </row>
    <row r="12" spans="1:15" ht="20.25" customHeight="1">
      <c r="A12" s="338">
        <v>7</v>
      </c>
      <c r="B12" s="459" t="s">
        <v>13</v>
      </c>
      <c r="C12" s="460">
        <f t="shared" si="0"/>
        <v>22</v>
      </c>
      <c r="D12" s="338">
        <v>9</v>
      </c>
      <c r="E12" s="461">
        <f t="shared" si="3"/>
        <v>40.909090909090914</v>
      </c>
      <c r="F12" s="462">
        <v>2</v>
      </c>
      <c r="G12" s="461">
        <f>F12/C12*100</f>
        <v>9.0909090909090917</v>
      </c>
      <c r="H12" s="463">
        <v>9</v>
      </c>
      <c r="I12" s="461">
        <f t="shared" si="1"/>
        <v>40.909090909090914</v>
      </c>
      <c r="J12" s="463">
        <v>2</v>
      </c>
      <c r="K12" s="461">
        <f t="shared" si="2"/>
        <v>9.0909090909090917</v>
      </c>
      <c r="L12" s="338">
        <v>0</v>
      </c>
      <c r="M12" s="464">
        <v>0</v>
      </c>
    </row>
    <row r="13" spans="1:15" ht="20.25" customHeight="1">
      <c r="A13" s="338">
        <v>8</v>
      </c>
      <c r="B13" s="459" t="s">
        <v>19</v>
      </c>
      <c r="C13" s="460">
        <f t="shared" si="0"/>
        <v>30</v>
      </c>
      <c r="D13" s="338">
        <v>8</v>
      </c>
      <c r="E13" s="461">
        <f t="shared" si="3"/>
        <v>26.666666666666668</v>
      </c>
      <c r="F13" s="462">
        <v>7</v>
      </c>
      <c r="G13" s="461">
        <v>0</v>
      </c>
      <c r="H13" s="463">
        <v>15</v>
      </c>
      <c r="I13" s="461">
        <f t="shared" si="1"/>
        <v>50</v>
      </c>
      <c r="J13" s="463">
        <v>0</v>
      </c>
      <c r="K13" s="461">
        <f t="shared" si="2"/>
        <v>0</v>
      </c>
      <c r="L13" s="338">
        <v>0</v>
      </c>
      <c r="M13" s="464">
        <v>0</v>
      </c>
    </row>
    <row r="14" spans="1:15" ht="20.25" customHeight="1">
      <c r="A14" s="338">
        <v>9</v>
      </c>
      <c r="B14" s="459" t="s">
        <v>11</v>
      </c>
      <c r="C14" s="460">
        <f t="shared" si="0"/>
        <v>11</v>
      </c>
      <c r="D14" s="338">
        <v>6</v>
      </c>
      <c r="E14" s="461">
        <f t="shared" si="3"/>
        <v>54.54545454545454</v>
      </c>
      <c r="F14" s="462">
        <v>1</v>
      </c>
      <c r="G14" s="461">
        <v>0</v>
      </c>
      <c r="H14" s="463">
        <v>4</v>
      </c>
      <c r="I14" s="461">
        <f t="shared" si="1"/>
        <v>36.363636363636367</v>
      </c>
      <c r="J14" s="463">
        <v>0</v>
      </c>
      <c r="K14" s="461">
        <f t="shared" si="2"/>
        <v>0</v>
      </c>
      <c r="L14" s="338">
        <v>0</v>
      </c>
      <c r="M14" s="464">
        <v>0</v>
      </c>
      <c r="O14" s="471"/>
    </row>
    <row r="15" spans="1:15" ht="20.25" customHeight="1">
      <c r="A15" s="338">
        <v>10</v>
      </c>
      <c r="B15" s="459" t="s">
        <v>21</v>
      </c>
      <c r="C15" s="460">
        <f t="shared" si="0"/>
        <v>30</v>
      </c>
      <c r="D15" s="338">
        <v>9</v>
      </c>
      <c r="E15" s="461">
        <f t="shared" si="3"/>
        <v>30</v>
      </c>
      <c r="F15" s="462">
        <v>3</v>
      </c>
      <c r="G15" s="461">
        <v>0</v>
      </c>
      <c r="H15" s="463">
        <v>18</v>
      </c>
      <c r="I15" s="461">
        <f t="shared" si="1"/>
        <v>60</v>
      </c>
      <c r="J15" s="463">
        <v>0</v>
      </c>
      <c r="K15" s="461">
        <f t="shared" si="2"/>
        <v>0</v>
      </c>
      <c r="L15" s="338">
        <v>0</v>
      </c>
      <c r="M15" s="464">
        <v>0</v>
      </c>
    </row>
    <row r="16" spans="1:15" ht="20.25" customHeight="1">
      <c r="A16" s="338">
        <v>11</v>
      </c>
      <c r="B16" s="459" t="s">
        <v>18</v>
      </c>
      <c r="C16" s="460">
        <f t="shared" si="0"/>
        <v>21</v>
      </c>
      <c r="D16" s="338">
        <v>7</v>
      </c>
      <c r="E16" s="461">
        <f t="shared" si="3"/>
        <v>33.333333333333329</v>
      </c>
      <c r="F16" s="462">
        <v>1</v>
      </c>
      <c r="G16" s="461">
        <f>F16/C16*100</f>
        <v>4.7619047619047619</v>
      </c>
      <c r="H16" s="463">
        <v>13</v>
      </c>
      <c r="I16" s="461">
        <f t="shared" si="1"/>
        <v>61.904761904761905</v>
      </c>
      <c r="J16" s="463">
        <v>0</v>
      </c>
      <c r="K16" s="461">
        <f t="shared" si="2"/>
        <v>0</v>
      </c>
      <c r="L16" s="338">
        <v>0</v>
      </c>
      <c r="M16" s="464">
        <v>0</v>
      </c>
    </row>
    <row r="17" spans="1:14" ht="20.25" customHeight="1">
      <c r="A17" s="338">
        <v>12</v>
      </c>
      <c r="B17" s="459" t="s">
        <v>12</v>
      </c>
      <c r="C17" s="460">
        <f t="shared" si="0"/>
        <v>21</v>
      </c>
      <c r="D17" s="338">
        <v>4</v>
      </c>
      <c r="E17" s="461">
        <f t="shared" si="3"/>
        <v>19.047619047619047</v>
      </c>
      <c r="F17" s="462">
        <v>1</v>
      </c>
      <c r="G17" s="461">
        <v>0</v>
      </c>
      <c r="H17" s="463">
        <v>12</v>
      </c>
      <c r="I17" s="461">
        <f t="shared" si="1"/>
        <v>57.142857142857139</v>
      </c>
      <c r="J17" s="463">
        <v>4</v>
      </c>
      <c r="K17" s="461">
        <f t="shared" si="2"/>
        <v>19.047619047619047</v>
      </c>
      <c r="L17" s="338">
        <v>0</v>
      </c>
      <c r="M17" s="464">
        <v>0</v>
      </c>
    </row>
    <row r="18" spans="1:14" s="472" customFormat="1" ht="20.25" customHeight="1">
      <c r="A18" s="465">
        <v>13</v>
      </c>
      <c r="B18" s="466" t="s">
        <v>24</v>
      </c>
      <c r="C18" s="465">
        <v>5</v>
      </c>
      <c r="D18" s="465">
        <v>1</v>
      </c>
      <c r="E18" s="461">
        <f t="shared" si="3"/>
        <v>20</v>
      </c>
      <c r="F18" s="462">
        <v>1</v>
      </c>
      <c r="G18" s="461">
        <v>0</v>
      </c>
      <c r="H18" s="465">
        <v>3</v>
      </c>
      <c r="I18" s="461">
        <f t="shared" si="1"/>
        <v>60</v>
      </c>
      <c r="J18" s="465">
        <v>0</v>
      </c>
      <c r="K18" s="461">
        <f t="shared" si="2"/>
        <v>0</v>
      </c>
      <c r="L18" s="338">
        <v>0</v>
      </c>
      <c r="M18" s="464">
        <v>0</v>
      </c>
    </row>
    <row r="19" spans="1:14" s="345" customFormat="1" ht="20.25" customHeight="1">
      <c r="A19" s="574" t="s">
        <v>482</v>
      </c>
      <c r="B19" s="574"/>
      <c r="C19" s="340">
        <f>SUM(C6:C18)</f>
        <v>229</v>
      </c>
      <c r="D19" s="340">
        <f>SUM(D6:D18)</f>
        <v>81</v>
      </c>
      <c r="E19" s="341">
        <f t="shared" si="3"/>
        <v>35.37117903930131</v>
      </c>
      <c r="F19" s="342">
        <f>SUM(SUM(F6:F18))</f>
        <v>30</v>
      </c>
      <c r="G19" s="341">
        <f>F19/C19*100</f>
        <v>13.100436681222707</v>
      </c>
      <c r="H19" s="340">
        <f>SUM(H6:H18)</f>
        <v>101</v>
      </c>
      <c r="I19" s="341">
        <f t="shared" si="1"/>
        <v>44.104803493449779</v>
      </c>
      <c r="J19" s="340">
        <f>SUM(J6:J18)</f>
        <v>17</v>
      </c>
      <c r="K19" s="341">
        <f t="shared" si="2"/>
        <v>7.4235807860262017</v>
      </c>
      <c r="L19" s="340">
        <f>SUM(L6:L18)</f>
        <v>0</v>
      </c>
      <c r="M19" s="343">
        <f>L19/C19*100</f>
        <v>0</v>
      </c>
      <c r="N19" s="344"/>
    </row>
    <row r="20" spans="1:14" s="345" customFormat="1" ht="13" customHeight="1">
      <c r="A20" s="346"/>
      <c r="B20" s="346"/>
      <c r="C20" s="346"/>
      <c r="D20" s="346"/>
      <c r="E20" s="347"/>
      <c r="F20" s="347"/>
      <c r="G20" s="347"/>
      <c r="H20" s="346"/>
      <c r="I20" s="347"/>
      <c r="J20" s="346"/>
      <c r="K20" s="348"/>
      <c r="L20" s="346"/>
      <c r="M20" s="349"/>
    </row>
    <row r="21" spans="1:14" ht="71" customHeight="1">
      <c r="A21" s="575" t="s">
        <v>483</v>
      </c>
      <c r="B21" s="575"/>
      <c r="C21" s="575"/>
      <c r="D21" s="575"/>
      <c r="E21" s="575"/>
      <c r="F21" s="575"/>
      <c r="G21" s="575"/>
      <c r="H21" s="575"/>
      <c r="I21" s="575"/>
      <c r="J21" s="575"/>
      <c r="K21" s="575"/>
      <c r="L21" s="575"/>
      <c r="M21" s="575"/>
    </row>
    <row r="22" spans="1:14">
      <c r="B22" s="350"/>
      <c r="C22" s="350"/>
      <c r="D22" s="350"/>
      <c r="E22" s="350"/>
      <c r="F22" s="350"/>
      <c r="G22" s="350"/>
      <c r="H22" s="350"/>
      <c r="I22" s="350"/>
      <c r="J22" s="350"/>
      <c r="K22" s="350"/>
      <c r="L22" s="350"/>
      <c r="M22" s="350"/>
    </row>
  </sheetData>
  <mergeCells count="12">
    <mergeCell ref="A19:B19"/>
    <mergeCell ref="A21:M21"/>
    <mergeCell ref="A1:M1"/>
    <mergeCell ref="A3:A5"/>
    <mergeCell ref="B3:B5"/>
    <mergeCell ref="C3:C5"/>
    <mergeCell ref="D3:M3"/>
    <mergeCell ref="D4:E4"/>
    <mergeCell ref="F4:G4"/>
    <mergeCell ref="H4:I4"/>
    <mergeCell ref="J4:K4"/>
    <mergeCell ref="L4:M4"/>
  </mergeCells>
  <pageMargins left="0.7" right="0.28000000000000003" top="0.51" bottom="0.42"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9"/>
  <sheetViews>
    <sheetView topLeftCell="A44" workbookViewId="0">
      <selection activeCell="I3" sqref="I3"/>
    </sheetView>
  </sheetViews>
  <sheetFormatPr defaultColWidth="9.09765625" defaultRowHeight="15.5"/>
  <cols>
    <col min="1" max="1" width="4.8984375" style="425" customWidth="1"/>
    <col min="2" max="2" width="22.296875" style="351" customWidth="1"/>
    <col min="3" max="3" width="6.296875" style="351" customWidth="1"/>
    <col min="4" max="4" width="7" style="351" customWidth="1"/>
    <col min="5" max="5" width="6.59765625" style="351" customWidth="1"/>
    <col min="6" max="6" width="6.296875" style="351" customWidth="1"/>
    <col min="7" max="8" width="6.3984375" style="351" customWidth="1"/>
    <col min="9" max="9" width="8" style="351" customWidth="1"/>
    <col min="10" max="10" width="5.296875" style="351" customWidth="1"/>
    <col min="11" max="11" width="6.3984375" style="351" customWidth="1"/>
    <col min="12" max="12" width="6.59765625" style="351" customWidth="1"/>
    <col min="13" max="13" width="6.3984375" style="351" customWidth="1"/>
    <col min="14" max="14" width="7.3984375" style="351" customWidth="1"/>
    <col min="15" max="15" width="6.296875" style="351" customWidth="1"/>
    <col min="16" max="16" width="6" style="351" customWidth="1"/>
    <col min="17" max="17" width="5.8984375" style="351" customWidth="1"/>
    <col min="18" max="18" width="6.59765625" style="351" customWidth="1"/>
    <col min="19" max="19" width="5.3984375" style="351" customWidth="1"/>
    <col min="20" max="20" width="6.3984375" style="351" customWidth="1"/>
    <col min="21" max="21" width="5.69921875" style="351" customWidth="1"/>
    <col min="22" max="22" width="9.3984375" style="426" customWidth="1"/>
    <col min="23" max="16384" width="9.09765625" style="351"/>
  </cols>
  <sheetData>
    <row r="1" spans="1:22" ht="52.15" customHeight="1">
      <c r="A1" s="585" t="s">
        <v>632</v>
      </c>
      <c r="B1" s="585"/>
      <c r="C1" s="585"/>
      <c r="D1" s="585"/>
      <c r="E1" s="585"/>
      <c r="F1" s="585"/>
      <c r="G1" s="585"/>
      <c r="H1" s="585"/>
      <c r="I1" s="585"/>
      <c r="J1" s="585"/>
      <c r="K1" s="585"/>
      <c r="L1" s="585"/>
      <c r="M1" s="585"/>
      <c r="N1" s="585"/>
      <c r="O1" s="585"/>
      <c r="P1" s="585"/>
      <c r="Q1" s="585"/>
      <c r="R1" s="585"/>
      <c r="S1" s="585"/>
      <c r="T1" s="585"/>
      <c r="U1" s="585"/>
      <c r="V1" s="585"/>
    </row>
    <row r="2" spans="1:22">
      <c r="A2" s="586" t="s">
        <v>0</v>
      </c>
      <c r="B2" s="586" t="s">
        <v>484</v>
      </c>
      <c r="C2" s="586" t="s">
        <v>485</v>
      </c>
      <c r="D2" s="586"/>
      <c r="E2" s="586"/>
      <c r="F2" s="586"/>
      <c r="G2" s="586"/>
      <c r="H2" s="586"/>
      <c r="I2" s="586"/>
      <c r="J2" s="586"/>
      <c r="K2" s="586"/>
      <c r="L2" s="586"/>
      <c r="M2" s="586"/>
      <c r="N2" s="586"/>
      <c r="O2" s="586"/>
      <c r="P2" s="586"/>
      <c r="Q2" s="586"/>
      <c r="R2" s="586"/>
      <c r="S2" s="586"/>
      <c r="T2" s="586"/>
      <c r="U2" s="586"/>
      <c r="V2" s="586"/>
    </row>
    <row r="3" spans="1:22" ht="15" customHeight="1">
      <c r="A3" s="586"/>
      <c r="B3" s="586"/>
      <c r="C3" s="353">
        <v>1</v>
      </c>
      <c r="D3" s="353">
        <v>2</v>
      </c>
      <c r="E3" s="353">
        <v>3</v>
      </c>
      <c r="F3" s="353">
        <v>4</v>
      </c>
      <c r="G3" s="353">
        <v>5</v>
      </c>
      <c r="H3" s="353">
        <v>6</v>
      </c>
      <c r="I3" s="353">
        <v>7</v>
      </c>
      <c r="J3" s="353">
        <v>8</v>
      </c>
      <c r="K3" s="353">
        <v>9</v>
      </c>
      <c r="L3" s="353">
        <v>10</v>
      </c>
      <c r="M3" s="353">
        <v>11</v>
      </c>
      <c r="N3" s="353">
        <v>12</v>
      </c>
      <c r="O3" s="353">
        <v>13</v>
      </c>
      <c r="P3" s="353">
        <v>14</v>
      </c>
      <c r="Q3" s="353">
        <v>15</v>
      </c>
      <c r="R3" s="353">
        <v>16</v>
      </c>
      <c r="S3" s="353">
        <v>17</v>
      </c>
      <c r="T3" s="353">
        <v>18</v>
      </c>
      <c r="U3" s="353">
        <v>19</v>
      </c>
      <c r="V3" s="587" t="s">
        <v>486</v>
      </c>
    </row>
    <row r="4" spans="1:22" ht="120.75" customHeight="1">
      <c r="A4" s="586"/>
      <c r="B4" s="586"/>
      <c r="C4" s="354" t="s">
        <v>487</v>
      </c>
      <c r="D4" s="354" t="s">
        <v>488</v>
      </c>
      <c r="E4" s="354" t="s">
        <v>489</v>
      </c>
      <c r="F4" s="354" t="s">
        <v>490</v>
      </c>
      <c r="G4" s="354" t="s">
        <v>491</v>
      </c>
      <c r="H4" s="354" t="s">
        <v>492</v>
      </c>
      <c r="I4" s="354" t="s">
        <v>493</v>
      </c>
      <c r="J4" s="354" t="s">
        <v>494</v>
      </c>
      <c r="K4" s="354" t="s">
        <v>495</v>
      </c>
      <c r="L4" s="354" t="s">
        <v>496</v>
      </c>
      <c r="M4" s="354" t="s">
        <v>497</v>
      </c>
      <c r="N4" s="354" t="s">
        <v>498</v>
      </c>
      <c r="O4" s="354" t="s">
        <v>499</v>
      </c>
      <c r="P4" s="354" t="s">
        <v>500</v>
      </c>
      <c r="Q4" s="354" t="s">
        <v>501</v>
      </c>
      <c r="R4" s="354" t="s">
        <v>502</v>
      </c>
      <c r="S4" s="354" t="s">
        <v>503</v>
      </c>
      <c r="T4" s="354" t="s">
        <v>504</v>
      </c>
      <c r="U4" s="354" t="s">
        <v>505</v>
      </c>
      <c r="V4" s="586"/>
    </row>
    <row r="5" spans="1:22" ht="18" customHeight="1">
      <c r="A5" s="583" t="s">
        <v>506</v>
      </c>
      <c r="B5" s="583"/>
      <c r="C5" s="352">
        <f>COUNTIF(C6:C35,"Đạt")</f>
        <v>30</v>
      </c>
      <c r="D5" s="352">
        <f t="shared" ref="D5:U5" si="0">COUNTIF(D6:D35,"Đạt")</f>
        <v>8</v>
      </c>
      <c r="E5" s="352">
        <f t="shared" si="0"/>
        <v>26</v>
      </c>
      <c r="F5" s="352">
        <f t="shared" si="0"/>
        <v>30</v>
      </c>
      <c r="G5" s="352">
        <f t="shared" si="0"/>
        <v>18</v>
      </c>
      <c r="H5" s="352">
        <f t="shared" si="0"/>
        <v>8</v>
      </c>
      <c r="I5" s="352">
        <f t="shared" si="0"/>
        <v>8</v>
      </c>
      <c r="J5" s="352">
        <f t="shared" si="0"/>
        <v>30</v>
      </c>
      <c r="K5" s="352">
        <f t="shared" si="0"/>
        <v>30</v>
      </c>
      <c r="L5" s="352">
        <f t="shared" si="0"/>
        <v>15</v>
      </c>
      <c r="M5" s="352">
        <f t="shared" si="0"/>
        <v>10</v>
      </c>
      <c r="N5" s="352">
        <f t="shared" si="0"/>
        <v>30</v>
      </c>
      <c r="O5" s="352">
        <f t="shared" si="0"/>
        <v>22</v>
      </c>
      <c r="P5" s="352">
        <f t="shared" si="0"/>
        <v>30</v>
      </c>
      <c r="Q5" s="352">
        <f t="shared" si="0"/>
        <v>27</v>
      </c>
      <c r="R5" s="352">
        <f t="shared" si="0"/>
        <v>24</v>
      </c>
      <c r="S5" s="352">
        <f t="shared" si="0"/>
        <v>8</v>
      </c>
      <c r="T5" s="352">
        <f t="shared" si="0"/>
        <v>26</v>
      </c>
      <c r="U5" s="352">
        <f t="shared" si="0"/>
        <v>29</v>
      </c>
      <c r="V5" s="355"/>
    </row>
    <row r="6" spans="1:22" s="359" customFormat="1" ht="20.25" customHeight="1">
      <c r="A6" s="353">
        <v>1</v>
      </c>
      <c r="B6" s="356" t="s">
        <v>377</v>
      </c>
      <c r="C6" s="357" t="s">
        <v>507</v>
      </c>
      <c r="D6" s="358" t="s">
        <v>507</v>
      </c>
      <c r="E6" s="358" t="s">
        <v>507</v>
      </c>
      <c r="F6" s="358" t="s">
        <v>507</v>
      </c>
      <c r="G6" s="358" t="s">
        <v>507</v>
      </c>
      <c r="H6" s="358" t="s">
        <v>507</v>
      </c>
      <c r="I6" s="358" t="s">
        <v>507</v>
      </c>
      <c r="J6" s="358" t="s">
        <v>507</v>
      </c>
      <c r="K6" s="358" t="s">
        <v>507</v>
      </c>
      <c r="L6" s="358" t="s">
        <v>507</v>
      </c>
      <c r="M6" s="358" t="s">
        <v>507</v>
      </c>
      <c r="N6" s="358" t="s">
        <v>507</v>
      </c>
      <c r="O6" s="358" t="s">
        <v>507</v>
      </c>
      <c r="P6" s="358" t="s">
        <v>507</v>
      </c>
      <c r="Q6" s="358" t="s">
        <v>507</v>
      </c>
      <c r="R6" s="358" t="s">
        <v>507</v>
      </c>
      <c r="S6" s="358" t="s">
        <v>507</v>
      </c>
      <c r="T6" s="358" t="s">
        <v>507</v>
      </c>
      <c r="U6" s="358" t="s">
        <v>507</v>
      </c>
      <c r="V6" s="352">
        <f t="shared" ref="V6:V35" si="1">COUNTIF(C6:U6,"Đạt")</f>
        <v>19</v>
      </c>
    </row>
    <row r="7" spans="1:22" s="359" customFormat="1" ht="20.25" customHeight="1">
      <c r="A7" s="353">
        <v>2</v>
      </c>
      <c r="B7" s="356" t="s">
        <v>391</v>
      </c>
      <c r="C7" s="357" t="s">
        <v>507</v>
      </c>
      <c r="D7" s="358" t="s">
        <v>507</v>
      </c>
      <c r="E7" s="358" t="s">
        <v>507</v>
      </c>
      <c r="F7" s="358" t="s">
        <v>507</v>
      </c>
      <c r="G7" s="358" t="s">
        <v>507</v>
      </c>
      <c r="H7" s="358" t="s">
        <v>507</v>
      </c>
      <c r="I7" s="357" t="s">
        <v>507</v>
      </c>
      <c r="J7" s="358" t="s">
        <v>507</v>
      </c>
      <c r="K7" s="358" t="s">
        <v>507</v>
      </c>
      <c r="L7" s="358" t="s">
        <v>507</v>
      </c>
      <c r="M7" s="358" t="s">
        <v>507</v>
      </c>
      <c r="N7" s="358" t="s">
        <v>507</v>
      </c>
      <c r="O7" s="358" t="s">
        <v>507</v>
      </c>
      <c r="P7" s="358" t="s">
        <v>507</v>
      </c>
      <c r="Q7" s="358" t="s">
        <v>507</v>
      </c>
      <c r="R7" s="358" t="s">
        <v>507</v>
      </c>
      <c r="S7" s="358" t="s">
        <v>507</v>
      </c>
      <c r="T7" s="358" t="s">
        <v>507</v>
      </c>
      <c r="U7" s="358" t="s">
        <v>507</v>
      </c>
      <c r="V7" s="352">
        <f t="shared" si="1"/>
        <v>19</v>
      </c>
    </row>
    <row r="8" spans="1:22" s="359" customFormat="1" ht="20.25" customHeight="1">
      <c r="A8" s="353">
        <v>3</v>
      </c>
      <c r="B8" s="356" t="s">
        <v>402</v>
      </c>
      <c r="C8" s="357" t="s">
        <v>507</v>
      </c>
      <c r="D8" s="358" t="s">
        <v>507</v>
      </c>
      <c r="E8" s="358" t="s">
        <v>507</v>
      </c>
      <c r="F8" s="358" t="s">
        <v>507</v>
      </c>
      <c r="G8" s="357" t="s">
        <v>507</v>
      </c>
      <c r="H8" s="358" t="s">
        <v>507</v>
      </c>
      <c r="I8" s="358" t="s">
        <v>507</v>
      </c>
      <c r="J8" s="358" t="s">
        <v>507</v>
      </c>
      <c r="K8" s="358" t="s">
        <v>507</v>
      </c>
      <c r="L8" s="358" t="s">
        <v>507</v>
      </c>
      <c r="M8" s="358" t="s">
        <v>507</v>
      </c>
      <c r="N8" s="358" t="s">
        <v>507</v>
      </c>
      <c r="O8" s="358" t="s">
        <v>507</v>
      </c>
      <c r="P8" s="358" t="s">
        <v>507</v>
      </c>
      <c r="Q8" s="358" t="s">
        <v>507</v>
      </c>
      <c r="R8" s="358" t="s">
        <v>507</v>
      </c>
      <c r="S8" s="358" t="s">
        <v>507</v>
      </c>
      <c r="T8" s="358" t="s">
        <v>507</v>
      </c>
      <c r="U8" s="358" t="s">
        <v>507</v>
      </c>
      <c r="V8" s="352">
        <f t="shared" si="1"/>
        <v>19</v>
      </c>
    </row>
    <row r="9" spans="1:22" s="359" customFormat="1" ht="20.25" customHeight="1">
      <c r="A9" s="353">
        <v>4</v>
      </c>
      <c r="B9" s="356" t="s">
        <v>390</v>
      </c>
      <c r="C9" s="357" t="s">
        <v>507</v>
      </c>
      <c r="D9" s="358" t="s">
        <v>507</v>
      </c>
      <c r="E9" s="358" t="s">
        <v>507</v>
      </c>
      <c r="F9" s="358" t="s">
        <v>507</v>
      </c>
      <c r="G9" s="358" t="s">
        <v>507</v>
      </c>
      <c r="H9" s="358" t="s">
        <v>507</v>
      </c>
      <c r="I9" s="358" t="s">
        <v>508</v>
      </c>
      <c r="J9" s="358" t="s">
        <v>507</v>
      </c>
      <c r="K9" s="358" t="s">
        <v>507</v>
      </c>
      <c r="L9" s="358" t="s">
        <v>507</v>
      </c>
      <c r="M9" s="358" t="s">
        <v>507</v>
      </c>
      <c r="N9" s="358" t="s">
        <v>507</v>
      </c>
      <c r="O9" s="358" t="s">
        <v>507</v>
      </c>
      <c r="P9" s="358" t="s">
        <v>507</v>
      </c>
      <c r="Q9" s="358" t="s">
        <v>507</v>
      </c>
      <c r="R9" s="358" t="s">
        <v>507</v>
      </c>
      <c r="S9" s="358" t="s">
        <v>507</v>
      </c>
      <c r="T9" s="358" t="s">
        <v>507</v>
      </c>
      <c r="U9" s="358" t="s">
        <v>507</v>
      </c>
      <c r="V9" s="352">
        <f t="shared" si="1"/>
        <v>18</v>
      </c>
    </row>
    <row r="10" spans="1:22" s="359" customFormat="1" ht="20.25" customHeight="1">
      <c r="A10" s="353">
        <v>5</v>
      </c>
      <c r="B10" s="356" t="s">
        <v>392</v>
      </c>
      <c r="C10" s="357" t="s">
        <v>507</v>
      </c>
      <c r="D10" s="358" t="s">
        <v>507</v>
      </c>
      <c r="E10" s="358" t="s">
        <v>507</v>
      </c>
      <c r="F10" s="358" t="s">
        <v>507</v>
      </c>
      <c r="G10" s="357" t="s">
        <v>507</v>
      </c>
      <c r="H10" s="358" t="s">
        <v>507</v>
      </c>
      <c r="I10" s="358" t="s">
        <v>508</v>
      </c>
      <c r="J10" s="358" t="s">
        <v>507</v>
      </c>
      <c r="K10" s="358" t="s">
        <v>507</v>
      </c>
      <c r="L10" s="358" t="s">
        <v>507</v>
      </c>
      <c r="M10" s="358" t="s">
        <v>507</v>
      </c>
      <c r="N10" s="358" t="s">
        <v>507</v>
      </c>
      <c r="O10" s="358" t="s">
        <v>507</v>
      </c>
      <c r="P10" s="358" t="s">
        <v>507</v>
      </c>
      <c r="Q10" s="358" t="s">
        <v>507</v>
      </c>
      <c r="R10" s="358" t="s">
        <v>507</v>
      </c>
      <c r="S10" s="358" t="s">
        <v>507</v>
      </c>
      <c r="T10" s="358" t="s">
        <v>507</v>
      </c>
      <c r="U10" s="358" t="s">
        <v>507</v>
      </c>
      <c r="V10" s="352">
        <f t="shared" si="1"/>
        <v>18</v>
      </c>
    </row>
    <row r="11" spans="1:22" s="359" customFormat="1" ht="20.25" customHeight="1">
      <c r="A11" s="353">
        <v>6</v>
      </c>
      <c r="B11" s="356" t="s">
        <v>400</v>
      </c>
      <c r="C11" s="357" t="s">
        <v>507</v>
      </c>
      <c r="D11" s="358" t="s">
        <v>507</v>
      </c>
      <c r="E11" s="358" t="s">
        <v>507</v>
      </c>
      <c r="F11" s="357" t="s">
        <v>507</v>
      </c>
      <c r="G11" s="357" t="s">
        <v>507</v>
      </c>
      <c r="H11" s="357" t="s">
        <v>507</v>
      </c>
      <c r="I11" s="358" t="s">
        <v>508</v>
      </c>
      <c r="J11" s="358" t="s">
        <v>507</v>
      </c>
      <c r="K11" s="358" t="s">
        <v>507</v>
      </c>
      <c r="L11" s="358" t="s">
        <v>507</v>
      </c>
      <c r="M11" s="358" t="s">
        <v>507</v>
      </c>
      <c r="N11" s="358" t="s">
        <v>507</v>
      </c>
      <c r="O11" s="358" t="s">
        <v>507</v>
      </c>
      <c r="P11" s="358" t="s">
        <v>507</v>
      </c>
      <c r="Q11" s="358" t="s">
        <v>507</v>
      </c>
      <c r="R11" s="358" t="s">
        <v>507</v>
      </c>
      <c r="S11" s="358" t="s">
        <v>507</v>
      </c>
      <c r="T11" s="358" t="s">
        <v>507</v>
      </c>
      <c r="U11" s="358" t="s">
        <v>507</v>
      </c>
      <c r="V11" s="352">
        <f t="shared" si="1"/>
        <v>18</v>
      </c>
    </row>
    <row r="12" spans="1:22" s="359" customFormat="1" ht="20.25" customHeight="1">
      <c r="A12" s="353">
        <v>7</v>
      </c>
      <c r="B12" s="356" t="s">
        <v>405</v>
      </c>
      <c r="C12" s="357" t="s">
        <v>507</v>
      </c>
      <c r="D12" s="358" t="s">
        <v>507</v>
      </c>
      <c r="E12" s="358" t="s">
        <v>507</v>
      </c>
      <c r="F12" s="358" t="s">
        <v>507</v>
      </c>
      <c r="G12" s="358" t="s">
        <v>507</v>
      </c>
      <c r="H12" s="358" t="s">
        <v>507</v>
      </c>
      <c r="I12" s="358" t="s">
        <v>508</v>
      </c>
      <c r="J12" s="358" t="s">
        <v>507</v>
      </c>
      <c r="K12" s="358" t="s">
        <v>507</v>
      </c>
      <c r="L12" s="358" t="s">
        <v>507</v>
      </c>
      <c r="M12" s="358" t="s">
        <v>507</v>
      </c>
      <c r="N12" s="358" t="s">
        <v>507</v>
      </c>
      <c r="O12" s="358" t="s">
        <v>507</v>
      </c>
      <c r="P12" s="358" t="s">
        <v>507</v>
      </c>
      <c r="Q12" s="358" t="s">
        <v>507</v>
      </c>
      <c r="R12" s="358" t="s">
        <v>507</v>
      </c>
      <c r="S12" s="358" t="s">
        <v>507</v>
      </c>
      <c r="T12" s="358" t="s">
        <v>507</v>
      </c>
      <c r="U12" s="358" t="s">
        <v>507</v>
      </c>
      <c r="V12" s="352">
        <f t="shared" si="1"/>
        <v>18</v>
      </c>
    </row>
    <row r="13" spans="1:22" s="359" customFormat="1" ht="20.25" customHeight="1">
      <c r="A13" s="353">
        <v>8</v>
      </c>
      <c r="B13" s="356" t="s">
        <v>406</v>
      </c>
      <c r="C13" s="357" t="s">
        <v>507</v>
      </c>
      <c r="D13" s="358" t="s">
        <v>507</v>
      </c>
      <c r="E13" s="358" t="s">
        <v>507</v>
      </c>
      <c r="F13" s="358" t="s">
        <v>507</v>
      </c>
      <c r="G13" s="358" t="s">
        <v>507</v>
      </c>
      <c r="H13" s="358" t="s">
        <v>507</v>
      </c>
      <c r="I13" s="358" t="s">
        <v>508</v>
      </c>
      <c r="J13" s="358" t="s">
        <v>507</v>
      </c>
      <c r="K13" s="358" t="s">
        <v>507</v>
      </c>
      <c r="L13" s="358" t="s">
        <v>507</v>
      </c>
      <c r="M13" s="358" t="s">
        <v>507</v>
      </c>
      <c r="N13" s="358" t="s">
        <v>507</v>
      </c>
      <c r="O13" s="358" t="s">
        <v>507</v>
      </c>
      <c r="P13" s="358" t="s">
        <v>507</v>
      </c>
      <c r="Q13" s="358" t="s">
        <v>507</v>
      </c>
      <c r="R13" s="358" t="s">
        <v>507</v>
      </c>
      <c r="S13" s="358" t="s">
        <v>507</v>
      </c>
      <c r="T13" s="358" t="s">
        <v>507</v>
      </c>
      <c r="U13" s="358" t="s">
        <v>507</v>
      </c>
      <c r="V13" s="352">
        <f t="shared" si="1"/>
        <v>18</v>
      </c>
    </row>
    <row r="14" spans="1:22" s="359" customFormat="1" ht="20.25" customHeight="1">
      <c r="A14" s="353">
        <v>9</v>
      </c>
      <c r="B14" s="356" t="s">
        <v>395</v>
      </c>
      <c r="C14" s="358" t="s">
        <v>507</v>
      </c>
      <c r="D14" s="357" t="s">
        <v>509</v>
      </c>
      <c r="E14" s="358" t="s">
        <v>507</v>
      </c>
      <c r="F14" s="358" t="s">
        <v>507</v>
      </c>
      <c r="G14" s="358" t="s">
        <v>507</v>
      </c>
      <c r="H14" s="357" t="s">
        <v>509</v>
      </c>
      <c r="I14" s="358" t="s">
        <v>507</v>
      </c>
      <c r="J14" s="358" t="s">
        <v>507</v>
      </c>
      <c r="K14" s="358" t="s">
        <v>507</v>
      </c>
      <c r="L14" s="358" t="s">
        <v>507</v>
      </c>
      <c r="M14" s="357" t="s">
        <v>509</v>
      </c>
      <c r="N14" s="358" t="s">
        <v>507</v>
      </c>
      <c r="O14" s="358" t="s">
        <v>507</v>
      </c>
      <c r="P14" s="358" t="s">
        <v>507</v>
      </c>
      <c r="Q14" s="357" t="s">
        <v>509</v>
      </c>
      <c r="R14" s="358" t="s">
        <v>507</v>
      </c>
      <c r="S14" s="357" t="s">
        <v>509</v>
      </c>
      <c r="T14" s="358" t="s">
        <v>507</v>
      </c>
      <c r="U14" s="358" t="s">
        <v>507</v>
      </c>
      <c r="V14" s="352">
        <f t="shared" si="1"/>
        <v>14</v>
      </c>
    </row>
    <row r="15" spans="1:22" s="359" customFormat="1" ht="20.25" customHeight="1">
      <c r="A15" s="353">
        <v>10</v>
      </c>
      <c r="B15" s="356" t="s">
        <v>381</v>
      </c>
      <c r="C15" s="357" t="s">
        <v>507</v>
      </c>
      <c r="D15" s="357" t="s">
        <v>509</v>
      </c>
      <c r="E15" s="358" t="s">
        <v>507</v>
      </c>
      <c r="F15" s="358" t="s">
        <v>507</v>
      </c>
      <c r="G15" s="358" t="s">
        <v>507</v>
      </c>
      <c r="H15" s="357" t="s">
        <v>509</v>
      </c>
      <c r="I15" s="358" t="s">
        <v>507</v>
      </c>
      <c r="J15" s="358" t="s">
        <v>507</v>
      </c>
      <c r="K15" s="358" t="s">
        <v>507</v>
      </c>
      <c r="L15" s="357" t="s">
        <v>509</v>
      </c>
      <c r="M15" s="357" t="s">
        <v>509</v>
      </c>
      <c r="N15" s="358" t="s">
        <v>507</v>
      </c>
      <c r="O15" s="357" t="s">
        <v>509</v>
      </c>
      <c r="P15" s="358" t="s">
        <v>507</v>
      </c>
      <c r="Q15" s="358" t="s">
        <v>507</v>
      </c>
      <c r="R15" s="358" t="s">
        <v>507</v>
      </c>
      <c r="S15" s="357" t="s">
        <v>509</v>
      </c>
      <c r="T15" s="358" t="s">
        <v>507</v>
      </c>
      <c r="U15" s="358" t="s">
        <v>507</v>
      </c>
      <c r="V15" s="352">
        <f t="shared" si="1"/>
        <v>13</v>
      </c>
    </row>
    <row r="16" spans="1:22" s="359" customFormat="1" ht="20.25" customHeight="1">
      <c r="A16" s="353">
        <v>11</v>
      </c>
      <c r="B16" s="356" t="s">
        <v>386</v>
      </c>
      <c r="C16" s="357" t="s">
        <v>507</v>
      </c>
      <c r="D16" s="357" t="s">
        <v>509</v>
      </c>
      <c r="E16" s="357" t="s">
        <v>507</v>
      </c>
      <c r="F16" s="357" t="s">
        <v>507</v>
      </c>
      <c r="G16" s="357" t="s">
        <v>507</v>
      </c>
      <c r="H16" s="357" t="s">
        <v>509</v>
      </c>
      <c r="I16" s="357" t="s">
        <v>507</v>
      </c>
      <c r="J16" s="357" t="s">
        <v>507</v>
      </c>
      <c r="K16" s="357" t="s">
        <v>507</v>
      </c>
      <c r="L16" s="357" t="s">
        <v>509</v>
      </c>
      <c r="M16" s="357" t="s">
        <v>509</v>
      </c>
      <c r="N16" s="357" t="s">
        <v>507</v>
      </c>
      <c r="O16" s="357" t="s">
        <v>509</v>
      </c>
      <c r="P16" s="357" t="s">
        <v>507</v>
      </c>
      <c r="Q16" s="357" t="s">
        <v>507</v>
      </c>
      <c r="R16" s="357" t="s">
        <v>507</v>
      </c>
      <c r="S16" s="357" t="s">
        <v>509</v>
      </c>
      <c r="T16" s="357" t="s">
        <v>507</v>
      </c>
      <c r="U16" s="357" t="s">
        <v>507</v>
      </c>
      <c r="V16" s="352">
        <f t="shared" si="1"/>
        <v>13</v>
      </c>
    </row>
    <row r="17" spans="1:23" s="359" customFormat="1" ht="20.25" customHeight="1">
      <c r="A17" s="353">
        <v>12</v>
      </c>
      <c r="B17" s="356" t="s">
        <v>396</v>
      </c>
      <c r="C17" s="357" t="s">
        <v>507</v>
      </c>
      <c r="D17" s="357" t="s">
        <v>509</v>
      </c>
      <c r="E17" s="357" t="s">
        <v>507</v>
      </c>
      <c r="F17" s="357" t="s">
        <v>507</v>
      </c>
      <c r="G17" s="357" t="s">
        <v>509</v>
      </c>
      <c r="H17" s="357" t="s">
        <v>509</v>
      </c>
      <c r="I17" s="358" t="s">
        <v>508</v>
      </c>
      <c r="J17" s="357" t="s">
        <v>507</v>
      </c>
      <c r="K17" s="357" t="s">
        <v>507</v>
      </c>
      <c r="L17" s="357" t="s">
        <v>507</v>
      </c>
      <c r="M17" s="357" t="s">
        <v>509</v>
      </c>
      <c r="N17" s="357" t="s">
        <v>507</v>
      </c>
      <c r="O17" s="357" t="s">
        <v>507</v>
      </c>
      <c r="P17" s="357" t="s">
        <v>507</v>
      </c>
      <c r="Q17" s="357" t="s">
        <v>507</v>
      </c>
      <c r="R17" s="357" t="s">
        <v>507</v>
      </c>
      <c r="S17" s="357" t="s">
        <v>509</v>
      </c>
      <c r="T17" s="357" t="s">
        <v>507</v>
      </c>
      <c r="U17" s="357" t="s">
        <v>507</v>
      </c>
      <c r="V17" s="352">
        <f t="shared" si="1"/>
        <v>13</v>
      </c>
    </row>
    <row r="18" spans="1:23" s="359" customFormat="1" ht="20.25" customHeight="1">
      <c r="A18" s="353">
        <v>13</v>
      </c>
      <c r="B18" s="356" t="s">
        <v>397</v>
      </c>
      <c r="C18" s="357" t="s">
        <v>507</v>
      </c>
      <c r="D18" s="357" t="s">
        <v>509</v>
      </c>
      <c r="E18" s="357" t="s">
        <v>507</v>
      </c>
      <c r="F18" s="357" t="s">
        <v>507</v>
      </c>
      <c r="G18" s="357" t="s">
        <v>509</v>
      </c>
      <c r="H18" s="357" t="s">
        <v>509</v>
      </c>
      <c r="I18" s="358" t="s">
        <v>508</v>
      </c>
      <c r="J18" s="357" t="s">
        <v>507</v>
      </c>
      <c r="K18" s="357" t="s">
        <v>507</v>
      </c>
      <c r="L18" s="357" t="s">
        <v>507</v>
      </c>
      <c r="M18" s="357" t="s">
        <v>509</v>
      </c>
      <c r="N18" s="357" t="s">
        <v>507</v>
      </c>
      <c r="O18" s="357" t="s">
        <v>507</v>
      </c>
      <c r="P18" s="357" t="s">
        <v>507</v>
      </c>
      <c r="Q18" s="357" t="s">
        <v>507</v>
      </c>
      <c r="R18" s="357" t="s">
        <v>507</v>
      </c>
      <c r="S18" s="357" t="s">
        <v>509</v>
      </c>
      <c r="T18" s="357" t="s">
        <v>507</v>
      </c>
      <c r="U18" s="357" t="s">
        <v>507</v>
      </c>
      <c r="V18" s="352">
        <f t="shared" si="1"/>
        <v>13</v>
      </c>
    </row>
    <row r="19" spans="1:23" s="359" customFormat="1" ht="20.25" customHeight="1">
      <c r="A19" s="353">
        <v>14</v>
      </c>
      <c r="B19" s="356" t="s">
        <v>398</v>
      </c>
      <c r="C19" s="357" t="s">
        <v>507</v>
      </c>
      <c r="D19" s="357" t="s">
        <v>509</v>
      </c>
      <c r="E19" s="357" t="s">
        <v>509</v>
      </c>
      <c r="F19" s="357" t="s">
        <v>507</v>
      </c>
      <c r="G19" s="357" t="s">
        <v>509</v>
      </c>
      <c r="H19" s="357" t="s">
        <v>509</v>
      </c>
      <c r="I19" s="358" t="s">
        <v>509</v>
      </c>
      <c r="J19" s="357" t="s">
        <v>507</v>
      </c>
      <c r="K19" s="357" t="s">
        <v>507</v>
      </c>
      <c r="L19" s="357" t="s">
        <v>507</v>
      </c>
      <c r="M19" s="357" t="s">
        <v>507</v>
      </c>
      <c r="N19" s="357" t="s">
        <v>507</v>
      </c>
      <c r="O19" s="357" t="s">
        <v>507</v>
      </c>
      <c r="P19" s="357" t="s">
        <v>507</v>
      </c>
      <c r="Q19" s="357" t="s">
        <v>507</v>
      </c>
      <c r="R19" s="357" t="s">
        <v>507</v>
      </c>
      <c r="S19" s="357" t="s">
        <v>509</v>
      </c>
      <c r="T19" s="357" t="s">
        <v>507</v>
      </c>
      <c r="U19" s="357" t="s">
        <v>507</v>
      </c>
      <c r="V19" s="352">
        <f t="shared" si="1"/>
        <v>13</v>
      </c>
      <c r="W19" s="360"/>
    </row>
    <row r="20" spans="1:23" s="359" customFormat="1" ht="20.25" customHeight="1">
      <c r="A20" s="353">
        <v>15</v>
      </c>
      <c r="B20" s="356" t="s">
        <v>401</v>
      </c>
      <c r="C20" s="357" t="s">
        <v>507</v>
      </c>
      <c r="D20" s="357" t="s">
        <v>509</v>
      </c>
      <c r="E20" s="357" t="s">
        <v>507</v>
      </c>
      <c r="F20" s="357" t="s">
        <v>507</v>
      </c>
      <c r="G20" s="357" t="s">
        <v>507</v>
      </c>
      <c r="H20" s="357" t="s">
        <v>509</v>
      </c>
      <c r="I20" s="358" t="s">
        <v>508</v>
      </c>
      <c r="J20" s="357" t="s">
        <v>507</v>
      </c>
      <c r="K20" s="358" t="s">
        <v>507</v>
      </c>
      <c r="L20" s="357" t="s">
        <v>509</v>
      </c>
      <c r="M20" s="357" t="s">
        <v>509</v>
      </c>
      <c r="N20" s="357" t="s">
        <v>507</v>
      </c>
      <c r="O20" s="358" t="s">
        <v>507</v>
      </c>
      <c r="P20" s="357" t="s">
        <v>507</v>
      </c>
      <c r="Q20" s="357" t="s">
        <v>507</v>
      </c>
      <c r="R20" s="357" t="s">
        <v>507</v>
      </c>
      <c r="S20" s="357" t="s">
        <v>509</v>
      </c>
      <c r="T20" s="357" t="s">
        <v>507</v>
      </c>
      <c r="U20" s="357" t="s">
        <v>507</v>
      </c>
      <c r="V20" s="352">
        <f t="shared" si="1"/>
        <v>13</v>
      </c>
    </row>
    <row r="21" spans="1:23" s="359" customFormat="1" ht="20.25" customHeight="1">
      <c r="A21" s="353">
        <v>16</v>
      </c>
      <c r="B21" s="356" t="s">
        <v>510</v>
      </c>
      <c r="C21" s="357" t="s">
        <v>507</v>
      </c>
      <c r="D21" s="357" t="s">
        <v>509</v>
      </c>
      <c r="E21" s="357" t="s">
        <v>507</v>
      </c>
      <c r="F21" s="357" t="s">
        <v>507</v>
      </c>
      <c r="G21" s="357" t="s">
        <v>509</v>
      </c>
      <c r="H21" s="357" t="s">
        <v>509</v>
      </c>
      <c r="I21" s="357" t="s">
        <v>507</v>
      </c>
      <c r="J21" s="357" t="s">
        <v>507</v>
      </c>
      <c r="K21" s="358" t="s">
        <v>507</v>
      </c>
      <c r="L21" s="357" t="s">
        <v>509</v>
      </c>
      <c r="M21" s="357" t="s">
        <v>509</v>
      </c>
      <c r="N21" s="357" t="s">
        <v>507</v>
      </c>
      <c r="O21" s="357" t="s">
        <v>509</v>
      </c>
      <c r="P21" s="357" t="s">
        <v>507</v>
      </c>
      <c r="Q21" s="357" t="s">
        <v>507</v>
      </c>
      <c r="R21" s="357" t="s">
        <v>507</v>
      </c>
      <c r="S21" s="357" t="s">
        <v>509</v>
      </c>
      <c r="T21" s="357" t="s">
        <v>507</v>
      </c>
      <c r="U21" s="357" t="s">
        <v>507</v>
      </c>
      <c r="V21" s="352">
        <f t="shared" si="1"/>
        <v>12</v>
      </c>
    </row>
    <row r="22" spans="1:23" s="359" customFormat="1" ht="20.25" customHeight="1">
      <c r="A22" s="353">
        <v>17</v>
      </c>
      <c r="B22" s="356" t="s">
        <v>382</v>
      </c>
      <c r="C22" s="357" t="s">
        <v>507</v>
      </c>
      <c r="D22" s="357" t="s">
        <v>509</v>
      </c>
      <c r="E22" s="357" t="s">
        <v>507</v>
      </c>
      <c r="F22" s="357" t="s">
        <v>507</v>
      </c>
      <c r="G22" s="357" t="s">
        <v>507</v>
      </c>
      <c r="H22" s="357" t="s">
        <v>509</v>
      </c>
      <c r="I22" s="358" t="s">
        <v>508</v>
      </c>
      <c r="J22" s="357" t="s">
        <v>507</v>
      </c>
      <c r="K22" s="358" t="s">
        <v>507</v>
      </c>
      <c r="L22" s="357" t="s">
        <v>509</v>
      </c>
      <c r="M22" s="357" t="s">
        <v>509</v>
      </c>
      <c r="N22" s="357" t="s">
        <v>507</v>
      </c>
      <c r="O22" s="357" t="s">
        <v>509</v>
      </c>
      <c r="P22" s="357" t="s">
        <v>507</v>
      </c>
      <c r="Q22" s="357" t="s">
        <v>507</v>
      </c>
      <c r="R22" s="357" t="s">
        <v>507</v>
      </c>
      <c r="S22" s="357" t="s">
        <v>509</v>
      </c>
      <c r="T22" s="357" t="s">
        <v>507</v>
      </c>
      <c r="U22" s="357" t="s">
        <v>507</v>
      </c>
      <c r="V22" s="352">
        <f t="shared" si="1"/>
        <v>12</v>
      </c>
    </row>
    <row r="23" spans="1:23" s="359" customFormat="1" ht="20.25" customHeight="1">
      <c r="A23" s="353">
        <v>18</v>
      </c>
      <c r="B23" s="356" t="s">
        <v>384</v>
      </c>
      <c r="C23" s="357" t="s">
        <v>507</v>
      </c>
      <c r="D23" s="357" t="s">
        <v>509</v>
      </c>
      <c r="E23" s="357" t="s">
        <v>507</v>
      </c>
      <c r="F23" s="357" t="s">
        <v>507</v>
      </c>
      <c r="G23" s="357" t="s">
        <v>509</v>
      </c>
      <c r="H23" s="357" t="s">
        <v>509</v>
      </c>
      <c r="I23" s="358" t="s">
        <v>508</v>
      </c>
      <c r="J23" s="357" t="s">
        <v>507</v>
      </c>
      <c r="K23" s="358" t="s">
        <v>507</v>
      </c>
      <c r="L23" s="357" t="s">
        <v>507</v>
      </c>
      <c r="M23" s="357" t="s">
        <v>509</v>
      </c>
      <c r="N23" s="357" t="s">
        <v>507</v>
      </c>
      <c r="O23" s="357" t="s">
        <v>509</v>
      </c>
      <c r="P23" s="357" t="s">
        <v>507</v>
      </c>
      <c r="Q23" s="357" t="s">
        <v>507</v>
      </c>
      <c r="R23" s="357" t="s">
        <v>507</v>
      </c>
      <c r="S23" s="357" t="s">
        <v>509</v>
      </c>
      <c r="T23" s="357" t="s">
        <v>507</v>
      </c>
      <c r="U23" s="357" t="s">
        <v>507</v>
      </c>
      <c r="V23" s="352">
        <f t="shared" si="1"/>
        <v>12</v>
      </c>
    </row>
    <row r="24" spans="1:23" s="359" customFormat="1" ht="20.25" customHeight="1">
      <c r="A24" s="353">
        <v>19</v>
      </c>
      <c r="B24" s="356" t="s">
        <v>385</v>
      </c>
      <c r="C24" s="357" t="s">
        <v>507</v>
      </c>
      <c r="D24" s="357" t="s">
        <v>509</v>
      </c>
      <c r="E24" s="357" t="s">
        <v>507</v>
      </c>
      <c r="F24" s="357" t="s">
        <v>507</v>
      </c>
      <c r="G24" s="357" t="s">
        <v>509</v>
      </c>
      <c r="H24" s="357" t="s">
        <v>509</v>
      </c>
      <c r="I24" s="358" t="s">
        <v>508</v>
      </c>
      <c r="J24" s="357" t="s">
        <v>507</v>
      </c>
      <c r="K24" s="358" t="s">
        <v>507</v>
      </c>
      <c r="L24" s="357" t="s">
        <v>509</v>
      </c>
      <c r="M24" s="357" t="s">
        <v>509</v>
      </c>
      <c r="N24" s="357" t="s">
        <v>507</v>
      </c>
      <c r="O24" s="357" t="s">
        <v>507</v>
      </c>
      <c r="P24" s="357" t="s">
        <v>507</v>
      </c>
      <c r="Q24" s="357" t="s">
        <v>507</v>
      </c>
      <c r="R24" s="357" t="s">
        <v>507</v>
      </c>
      <c r="S24" s="357" t="s">
        <v>509</v>
      </c>
      <c r="T24" s="357" t="s">
        <v>507</v>
      </c>
      <c r="U24" s="357" t="s">
        <v>507</v>
      </c>
      <c r="V24" s="352">
        <f t="shared" si="1"/>
        <v>12</v>
      </c>
    </row>
    <row r="25" spans="1:23" s="359" customFormat="1" ht="20.25" customHeight="1">
      <c r="A25" s="353">
        <v>20</v>
      </c>
      <c r="B25" s="356" t="s">
        <v>393</v>
      </c>
      <c r="C25" s="357" t="s">
        <v>507</v>
      </c>
      <c r="D25" s="357" t="s">
        <v>509</v>
      </c>
      <c r="E25" s="357" t="s">
        <v>507</v>
      </c>
      <c r="F25" s="358" t="s">
        <v>507</v>
      </c>
      <c r="G25" s="357" t="s">
        <v>507</v>
      </c>
      <c r="H25" s="357" t="s">
        <v>509</v>
      </c>
      <c r="I25" s="358" t="s">
        <v>508</v>
      </c>
      <c r="J25" s="357" t="s">
        <v>507</v>
      </c>
      <c r="K25" s="358" t="s">
        <v>507</v>
      </c>
      <c r="L25" s="357" t="s">
        <v>509</v>
      </c>
      <c r="M25" s="357" t="s">
        <v>509</v>
      </c>
      <c r="N25" s="357" t="s">
        <v>507</v>
      </c>
      <c r="O25" s="357" t="s">
        <v>507</v>
      </c>
      <c r="P25" s="357" t="s">
        <v>507</v>
      </c>
      <c r="Q25" s="357" t="s">
        <v>507</v>
      </c>
      <c r="R25" s="357" t="s">
        <v>507</v>
      </c>
      <c r="S25" s="357" t="s">
        <v>509</v>
      </c>
      <c r="T25" s="357" t="s">
        <v>509</v>
      </c>
      <c r="U25" s="357" t="s">
        <v>507</v>
      </c>
      <c r="V25" s="352">
        <f t="shared" si="1"/>
        <v>12</v>
      </c>
    </row>
    <row r="26" spans="1:23" s="359" customFormat="1" ht="20.25" customHeight="1">
      <c r="A26" s="353">
        <v>21</v>
      </c>
      <c r="B26" s="356" t="s">
        <v>403</v>
      </c>
      <c r="C26" s="357" t="s">
        <v>507</v>
      </c>
      <c r="D26" s="357" t="s">
        <v>509</v>
      </c>
      <c r="E26" s="357" t="s">
        <v>507</v>
      </c>
      <c r="F26" s="357" t="s">
        <v>507</v>
      </c>
      <c r="G26" s="357" t="s">
        <v>509</v>
      </c>
      <c r="H26" s="357" t="s">
        <v>509</v>
      </c>
      <c r="I26" s="358" t="s">
        <v>508</v>
      </c>
      <c r="J26" s="357" t="s">
        <v>507</v>
      </c>
      <c r="K26" s="358" t="s">
        <v>507</v>
      </c>
      <c r="L26" s="357" t="s">
        <v>509</v>
      </c>
      <c r="M26" s="357" t="s">
        <v>509</v>
      </c>
      <c r="N26" s="357" t="s">
        <v>507</v>
      </c>
      <c r="O26" s="357" t="s">
        <v>507</v>
      </c>
      <c r="P26" s="357" t="s">
        <v>507</v>
      </c>
      <c r="Q26" s="357" t="s">
        <v>507</v>
      </c>
      <c r="R26" s="357" t="s">
        <v>507</v>
      </c>
      <c r="S26" s="357" t="s">
        <v>509</v>
      </c>
      <c r="T26" s="357" t="s">
        <v>507</v>
      </c>
      <c r="U26" s="357" t="s">
        <v>507</v>
      </c>
      <c r="V26" s="352">
        <f t="shared" si="1"/>
        <v>12</v>
      </c>
    </row>
    <row r="27" spans="1:23" s="359" customFormat="1" ht="20.25" customHeight="1">
      <c r="A27" s="353">
        <v>22</v>
      </c>
      <c r="B27" s="356" t="s">
        <v>404</v>
      </c>
      <c r="C27" s="357" t="s">
        <v>507</v>
      </c>
      <c r="D27" s="357" t="s">
        <v>509</v>
      </c>
      <c r="E27" s="357" t="s">
        <v>507</v>
      </c>
      <c r="F27" s="357" t="s">
        <v>507</v>
      </c>
      <c r="G27" s="357" t="s">
        <v>507</v>
      </c>
      <c r="H27" s="357" t="s">
        <v>509</v>
      </c>
      <c r="I27" s="358" t="s">
        <v>509</v>
      </c>
      <c r="J27" s="357" t="s">
        <v>507</v>
      </c>
      <c r="K27" s="357" t="s">
        <v>507</v>
      </c>
      <c r="L27" s="357" t="s">
        <v>507</v>
      </c>
      <c r="M27" s="357" t="s">
        <v>509</v>
      </c>
      <c r="N27" s="357" t="s">
        <v>507</v>
      </c>
      <c r="O27" s="357" t="s">
        <v>507</v>
      </c>
      <c r="P27" s="358" t="s">
        <v>507</v>
      </c>
      <c r="Q27" s="357" t="s">
        <v>507</v>
      </c>
      <c r="R27" s="357" t="s">
        <v>509</v>
      </c>
      <c r="S27" s="357" t="s">
        <v>509</v>
      </c>
      <c r="T27" s="357" t="s">
        <v>509</v>
      </c>
      <c r="U27" s="357" t="s">
        <v>507</v>
      </c>
      <c r="V27" s="352">
        <f t="shared" si="1"/>
        <v>12</v>
      </c>
    </row>
    <row r="28" spans="1:23" s="359" customFormat="1" ht="20.25" customHeight="1">
      <c r="A28" s="353">
        <v>23</v>
      </c>
      <c r="B28" s="356" t="s">
        <v>378</v>
      </c>
      <c r="C28" s="357" t="s">
        <v>507</v>
      </c>
      <c r="D28" s="357" t="s">
        <v>509</v>
      </c>
      <c r="E28" s="357" t="s">
        <v>507</v>
      </c>
      <c r="F28" s="357" t="s">
        <v>507</v>
      </c>
      <c r="G28" s="357" t="s">
        <v>509</v>
      </c>
      <c r="H28" s="357" t="s">
        <v>509</v>
      </c>
      <c r="I28" s="358" t="s">
        <v>508</v>
      </c>
      <c r="J28" s="357" t="s">
        <v>507</v>
      </c>
      <c r="K28" s="358" t="s">
        <v>507</v>
      </c>
      <c r="L28" s="357" t="s">
        <v>509</v>
      </c>
      <c r="M28" s="357" t="s">
        <v>509</v>
      </c>
      <c r="N28" s="358" t="s">
        <v>507</v>
      </c>
      <c r="O28" s="357" t="s">
        <v>507</v>
      </c>
      <c r="P28" s="357" t="s">
        <v>507</v>
      </c>
      <c r="Q28" s="358" t="s">
        <v>507</v>
      </c>
      <c r="R28" s="357" t="s">
        <v>509</v>
      </c>
      <c r="S28" s="357" t="s">
        <v>509</v>
      </c>
      <c r="T28" s="358" t="s">
        <v>507</v>
      </c>
      <c r="U28" s="358" t="s">
        <v>507</v>
      </c>
      <c r="V28" s="352">
        <f t="shared" si="1"/>
        <v>11</v>
      </c>
    </row>
    <row r="29" spans="1:23" s="359" customFormat="1" ht="20.25" customHeight="1">
      <c r="A29" s="353">
        <v>24</v>
      </c>
      <c r="B29" s="356" t="s">
        <v>383</v>
      </c>
      <c r="C29" s="357" t="s">
        <v>507</v>
      </c>
      <c r="D29" s="357" t="s">
        <v>509</v>
      </c>
      <c r="E29" s="357" t="s">
        <v>507</v>
      </c>
      <c r="F29" s="357" t="s">
        <v>507</v>
      </c>
      <c r="G29" s="357" t="s">
        <v>509</v>
      </c>
      <c r="H29" s="357" t="s">
        <v>509</v>
      </c>
      <c r="I29" s="358" t="s">
        <v>509</v>
      </c>
      <c r="J29" s="357" t="s">
        <v>507</v>
      </c>
      <c r="K29" s="358" t="s">
        <v>507</v>
      </c>
      <c r="L29" s="357" t="s">
        <v>509</v>
      </c>
      <c r="M29" s="357" t="s">
        <v>509</v>
      </c>
      <c r="N29" s="357" t="s">
        <v>507</v>
      </c>
      <c r="O29" s="357" t="s">
        <v>509</v>
      </c>
      <c r="P29" s="357" t="s">
        <v>507</v>
      </c>
      <c r="Q29" s="357" t="s">
        <v>507</v>
      </c>
      <c r="R29" s="357" t="s">
        <v>507</v>
      </c>
      <c r="S29" s="357" t="s">
        <v>509</v>
      </c>
      <c r="T29" s="357" t="s">
        <v>507</v>
      </c>
      <c r="U29" s="357" t="s">
        <v>507</v>
      </c>
      <c r="V29" s="352">
        <f t="shared" si="1"/>
        <v>11</v>
      </c>
    </row>
    <row r="30" spans="1:23" s="359" customFormat="1" ht="20.25" customHeight="1">
      <c r="A30" s="353">
        <v>25</v>
      </c>
      <c r="B30" s="356" t="s">
        <v>387</v>
      </c>
      <c r="C30" s="357" t="s">
        <v>507</v>
      </c>
      <c r="D30" s="357" t="s">
        <v>509</v>
      </c>
      <c r="E30" s="357" t="s">
        <v>507</v>
      </c>
      <c r="F30" s="357" t="s">
        <v>507</v>
      </c>
      <c r="G30" s="357" t="s">
        <v>507</v>
      </c>
      <c r="H30" s="357" t="s">
        <v>509</v>
      </c>
      <c r="I30" s="358" t="s">
        <v>508</v>
      </c>
      <c r="J30" s="357" t="s">
        <v>507</v>
      </c>
      <c r="K30" s="358" t="s">
        <v>507</v>
      </c>
      <c r="L30" s="357" t="s">
        <v>509</v>
      </c>
      <c r="M30" s="357" t="s">
        <v>509</v>
      </c>
      <c r="N30" s="357" t="s">
        <v>507</v>
      </c>
      <c r="O30" s="357" t="s">
        <v>509</v>
      </c>
      <c r="P30" s="358" t="s">
        <v>507</v>
      </c>
      <c r="Q30" s="357" t="s">
        <v>507</v>
      </c>
      <c r="R30" s="357" t="s">
        <v>509</v>
      </c>
      <c r="S30" s="357" t="s">
        <v>509</v>
      </c>
      <c r="T30" s="357" t="s">
        <v>507</v>
      </c>
      <c r="U30" s="357" t="s">
        <v>507</v>
      </c>
      <c r="V30" s="352">
        <f t="shared" si="1"/>
        <v>11</v>
      </c>
    </row>
    <row r="31" spans="1:23" s="359" customFormat="1" ht="20.25" customHeight="1">
      <c r="A31" s="353">
        <v>26</v>
      </c>
      <c r="B31" s="356" t="s">
        <v>388</v>
      </c>
      <c r="C31" s="357" t="s">
        <v>507</v>
      </c>
      <c r="D31" s="357" t="s">
        <v>509</v>
      </c>
      <c r="E31" s="357" t="s">
        <v>509</v>
      </c>
      <c r="F31" s="357" t="s">
        <v>507</v>
      </c>
      <c r="G31" s="357" t="s">
        <v>507</v>
      </c>
      <c r="H31" s="357" t="s">
        <v>509</v>
      </c>
      <c r="I31" s="357" t="s">
        <v>509</v>
      </c>
      <c r="J31" s="358" t="s">
        <v>507</v>
      </c>
      <c r="K31" s="357" t="s">
        <v>507</v>
      </c>
      <c r="L31" s="357" t="s">
        <v>509</v>
      </c>
      <c r="M31" s="357" t="s">
        <v>509</v>
      </c>
      <c r="N31" s="358" t="s">
        <v>507</v>
      </c>
      <c r="O31" s="357" t="s">
        <v>507</v>
      </c>
      <c r="P31" s="358" t="s">
        <v>507</v>
      </c>
      <c r="Q31" s="357" t="s">
        <v>507</v>
      </c>
      <c r="R31" s="357" t="s">
        <v>509</v>
      </c>
      <c r="S31" s="357" t="s">
        <v>509</v>
      </c>
      <c r="T31" s="358" t="s">
        <v>507</v>
      </c>
      <c r="U31" s="357" t="s">
        <v>507</v>
      </c>
      <c r="V31" s="352">
        <f t="shared" si="1"/>
        <v>11</v>
      </c>
    </row>
    <row r="32" spans="1:23" s="359" customFormat="1" ht="20.25" customHeight="1">
      <c r="A32" s="353">
        <v>27</v>
      </c>
      <c r="B32" s="356" t="s">
        <v>389</v>
      </c>
      <c r="C32" s="357" t="s">
        <v>507</v>
      </c>
      <c r="D32" s="358" t="s">
        <v>509</v>
      </c>
      <c r="E32" s="358" t="s">
        <v>509</v>
      </c>
      <c r="F32" s="358" t="s">
        <v>507</v>
      </c>
      <c r="G32" s="358" t="s">
        <v>509</v>
      </c>
      <c r="H32" s="358" t="s">
        <v>509</v>
      </c>
      <c r="I32" s="357" t="s">
        <v>507</v>
      </c>
      <c r="J32" s="358" t="s">
        <v>507</v>
      </c>
      <c r="K32" s="358" t="s">
        <v>507</v>
      </c>
      <c r="L32" s="358" t="s">
        <v>509</v>
      </c>
      <c r="M32" s="358" t="s">
        <v>509</v>
      </c>
      <c r="N32" s="358" t="s">
        <v>507</v>
      </c>
      <c r="O32" s="357" t="s">
        <v>509</v>
      </c>
      <c r="P32" s="358" t="s">
        <v>507</v>
      </c>
      <c r="Q32" s="357" t="s">
        <v>507</v>
      </c>
      <c r="R32" s="357" t="s">
        <v>507</v>
      </c>
      <c r="S32" s="358" t="s">
        <v>509</v>
      </c>
      <c r="T32" s="357" t="s">
        <v>507</v>
      </c>
      <c r="U32" s="357" t="s">
        <v>507</v>
      </c>
      <c r="V32" s="352">
        <f t="shared" si="1"/>
        <v>11</v>
      </c>
    </row>
    <row r="33" spans="1:22" s="359" customFormat="1" ht="20.25" customHeight="1">
      <c r="A33" s="353">
        <v>28</v>
      </c>
      <c r="B33" s="356" t="s">
        <v>399</v>
      </c>
      <c r="C33" s="357" t="s">
        <v>507</v>
      </c>
      <c r="D33" s="357" t="s">
        <v>509</v>
      </c>
      <c r="E33" s="357">
        <v>2016</v>
      </c>
      <c r="F33" s="357" t="s">
        <v>507</v>
      </c>
      <c r="G33" s="357" t="s">
        <v>509</v>
      </c>
      <c r="H33" s="357" t="s">
        <v>509</v>
      </c>
      <c r="I33" s="358" t="s">
        <v>508</v>
      </c>
      <c r="J33" s="357" t="s">
        <v>507</v>
      </c>
      <c r="K33" s="358" t="s">
        <v>507</v>
      </c>
      <c r="L33" s="357" t="s">
        <v>509</v>
      </c>
      <c r="M33" s="358" t="s">
        <v>507</v>
      </c>
      <c r="N33" s="358" t="s">
        <v>507</v>
      </c>
      <c r="O33" s="358" t="s">
        <v>507</v>
      </c>
      <c r="P33" s="358" t="s">
        <v>507</v>
      </c>
      <c r="Q33" s="358" t="s">
        <v>507</v>
      </c>
      <c r="R33" s="357" t="s">
        <v>509</v>
      </c>
      <c r="S33" s="357" t="s">
        <v>509</v>
      </c>
      <c r="T33" s="358" t="s">
        <v>507</v>
      </c>
      <c r="U33" s="358" t="s">
        <v>507</v>
      </c>
      <c r="V33" s="352">
        <f t="shared" si="1"/>
        <v>11</v>
      </c>
    </row>
    <row r="34" spans="1:22" s="359" customFormat="1" ht="20.25" customHeight="1">
      <c r="A34" s="353">
        <v>29</v>
      </c>
      <c r="B34" s="356" t="s">
        <v>380</v>
      </c>
      <c r="C34" s="357" t="s">
        <v>507</v>
      </c>
      <c r="D34" s="357" t="s">
        <v>509</v>
      </c>
      <c r="E34" s="357" t="s">
        <v>507</v>
      </c>
      <c r="F34" s="357" t="s">
        <v>507</v>
      </c>
      <c r="G34" s="357" t="s">
        <v>507</v>
      </c>
      <c r="H34" s="357" t="s">
        <v>509</v>
      </c>
      <c r="I34" s="358" t="s">
        <v>508</v>
      </c>
      <c r="J34" s="357" t="s">
        <v>507</v>
      </c>
      <c r="K34" s="358" t="s">
        <v>507</v>
      </c>
      <c r="L34" s="357" t="s">
        <v>509</v>
      </c>
      <c r="M34" s="357" t="s">
        <v>509</v>
      </c>
      <c r="N34" s="358" t="s">
        <v>507</v>
      </c>
      <c r="O34" s="358" t="s">
        <v>507</v>
      </c>
      <c r="P34" s="358" t="s">
        <v>507</v>
      </c>
      <c r="Q34" s="357" t="s">
        <v>509</v>
      </c>
      <c r="R34" s="358" t="s">
        <v>507</v>
      </c>
      <c r="S34" s="357" t="s">
        <v>509</v>
      </c>
      <c r="T34" s="357" t="s">
        <v>509</v>
      </c>
      <c r="U34" s="357" t="s">
        <v>509</v>
      </c>
      <c r="V34" s="352">
        <f t="shared" si="1"/>
        <v>10</v>
      </c>
    </row>
    <row r="35" spans="1:22" s="359" customFormat="1" ht="20.25" customHeight="1">
      <c r="A35" s="353">
        <v>30</v>
      </c>
      <c r="B35" s="356" t="s">
        <v>394</v>
      </c>
      <c r="C35" s="357" t="s">
        <v>507</v>
      </c>
      <c r="D35" s="357" t="s">
        <v>509</v>
      </c>
      <c r="E35" s="358" t="s">
        <v>507</v>
      </c>
      <c r="F35" s="358" t="s">
        <v>507</v>
      </c>
      <c r="G35" s="357" t="s">
        <v>509</v>
      </c>
      <c r="H35" s="357" t="s">
        <v>509</v>
      </c>
      <c r="I35" s="358" t="s">
        <v>508</v>
      </c>
      <c r="J35" s="358" t="s">
        <v>507</v>
      </c>
      <c r="K35" s="358" t="s">
        <v>507</v>
      </c>
      <c r="L35" s="358" t="s">
        <v>507</v>
      </c>
      <c r="M35" s="357" t="s">
        <v>509</v>
      </c>
      <c r="N35" s="358" t="s">
        <v>507</v>
      </c>
      <c r="O35" s="358" t="s">
        <v>507</v>
      </c>
      <c r="P35" s="358" t="s">
        <v>507</v>
      </c>
      <c r="Q35" s="357" t="s">
        <v>509</v>
      </c>
      <c r="R35" s="357" t="s">
        <v>509</v>
      </c>
      <c r="S35" s="357" t="s">
        <v>509</v>
      </c>
      <c r="T35" s="357" t="s">
        <v>509</v>
      </c>
      <c r="U35" s="357" t="s">
        <v>507</v>
      </c>
      <c r="V35" s="352">
        <f t="shared" si="1"/>
        <v>10</v>
      </c>
    </row>
    <row r="36" spans="1:22" s="443" customFormat="1" ht="20.25" customHeight="1">
      <c r="A36" s="583" t="s">
        <v>511</v>
      </c>
      <c r="B36" s="583"/>
      <c r="C36" s="441">
        <f>COUNTIF(C37:C47,"Đạt")</f>
        <v>11</v>
      </c>
      <c r="D36" s="441">
        <f t="shared" ref="D36:U36" si="2">COUNTIF(D37:D47,"Đạt")</f>
        <v>8</v>
      </c>
      <c r="E36" s="441">
        <f t="shared" si="2"/>
        <v>9</v>
      </c>
      <c r="F36" s="441">
        <f t="shared" si="2"/>
        <v>11</v>
      </c>
      <c r="G36" s="441">
        <f t="shared" si="2"/>
        <v>11</v>
      </c>
      <c r="H36" s="441">
        <f t="shared" si="2"/>
        <v>8</v>
      </c>
      <c r="I36" s="441">
        <f t="shared" si="2"/>
        <v>2</v>
      </c>
      <c r="J36" s="441">
        <f t="shared" si="2"/>
        <v>10</v>
      </c>
      <c r="K36" s="441">
        <f t="shared" si="2"/>
        <v>9</v>
      </c>
      <c r="L36" s="441">
        <f t="shared" si="2"/>
        <v>7</v>
      </c>
      <c r="M36" s="441">
        <f t="shared" si="2"/>
        <v>7</v>
      </c>
      <c r="N36" s="441">
        <f t="shared" si="2"/>
        <v>11</v>
      </c>
      <c r="O36" s="441">
        <f t="shared" si="2"/>
        <v>10</v>
      </c>
      <c r="P36" s="441">
        <f t="shared" si="2"/>
        <v>11</v>
      </c>
      <c r="Q36" s="441">
        <f t="shared" si="2"/>
        <v>11</v>
      </c>
      <c r="R36" s="441">
        <f t="shared" si="2"/>
        <v>9</v>
      </c>
      <c r="S36" s="441">
        <f t="shared" si="2"/>
        <v>6</v>
      </c>
      <c r="T36" s="441">
        <f t="shared" si="2"/>
        <v>7</v>
      </c>
      <c r="U36" s="441">
        <f t="shared" si="2"/>
        <v>11</v>
      </c>
      <c r="V36" s="442"/>
    </row>
    <row r="37" spans="1:22" s="361" customFormat="1" ht="20.25" customHeight="1">
      <c r="A37" s="362">
        <v>1</v>
      </c>
      <c r="B37" s="363" t="s">
        <v>512</v>
      </c>
      <c r="C37" s="353" t="s">
        <v>507</v>
      </c>
      <c r="D37" s="353" t="s">
        <v>507</v>
      </c>
      <c r="E37" s="353" t="s">
        <v>507</v>
      </c>
      <c r="F37" s="353" t="s">
        <v>507</v>
      </c>
      <c r="G37" s="353" t="s">
        <v>507</v>
      </c>
      <c r="H37" s="353" t="s">
        <v>507</v>
      </c>
      <c r="I37" s="353" t="s">
        <v>508</v>
      </c>
      <c r="J37" s="353" t="s">
        <v>507</v>
      </c>
      <c r="K37" s="353" t="s">
        <v>507</v>
      </c>
      <c r="L37" s="353" t="s">
        <v>507</v>
      </c>
      <c r="M37" s="353" t="s">
        <v>507</v>
      </c>
      <c r="N37" s="353" t="s">
        <v>507</v>
      </c>
      <c r="O37" s="353" t="s">
        <v>507</v>
      </c>
      <c r="P37" s="353" t="s">
        <v>507</v>
      </c>
      <c r="Q37" s="353" t="s">
        <v>507</v>
      </c>
      <c r="R37" s="353" t="s">
        <v>507</v>
      </c>
      <c r="S37" s="353" t="s">
        <v>507</v>
      </c>
      <c r="T37" s="353" t="s">
        <v>507</v>
      </c>
      <c r="U37" s="353" t="s">
        <v>507</v>
      </c>
      <c r="V37" s="352">
        <f t="shared" ref="V37:V47" si="3">COUNTIF(C37:U37,"Đạt")</f>
        <v>18</v>
      </c>
    </row>
    <row r="38" spans="1:22" s="361" customFormat="1" ht="20.25" customHeight="1">
      <c r="A38" s="362">
        <v>2</v>
      </c>
      <c r="B38" s="363" t="s">
        <v>513</v>
      </c>
      <c r="C38" s="353" t="s">
        <v>507</v>
      </c>
      <c r="D38" s="353" t="s">
        <v>507</v>
      </c>
      <c r="E38" s="353" t="s">
        <v>507</v>
      </c>
      <c r="F38" s="353" t="s">
        <v>507</v>
      </c>
      <c r="G38" s="353" t="s">
        <v>507</v>
      </c>
      <c r="H38" s="353" t="s">
        <v>507</v>
      </c>
      <c r="I38" s="353" t="s">
        <v>508</v>
      </c>
      <c r="J38" s="353" t="s">
        <v>507</v>
      </c>
      <c r="K38" s="353" t="s">
        <v>507</v>
      </c>
      <c r="L38" s="353" t="s">
        <v>507</v>
      </c>
      <c r="M38" s="353" t="s">
        <v>507</v>
      </c>
      <c r="N38" s="353" t="s">
        <v>507</v>
      </c>
      <c r="O38" s="353" t="s">
        <v>507</v>
      </c>
      <c r="P38" s="353" t="s">
        <v>507</v>
      </c>
      <c r="Q38" s="353" t="s">
        <v>507</v>
      </c>
      <c r="R38" s="353" t="s">
        <v>507</v>
      </c>
      <c r="S38" s="353" t="s">
        <v>507</v>
      </c>
      <c r="T38" s="353" t="s">
        <v>507</v>
      </c>
      <c r="U38" s="353" t="s">
        <v>507</v>
      </c>
      <c r="V38" s="352">
        <f t="shared" si="3"/>
        <v>18</v>
      </c>
    </row>
    <row r="39" spans="1:22" s="361" customFormat="1" ht="20.25" customHeight="1">
      <c r="A39" s="362">
        <v>3</v>
      </c>
      <c r="B39" s="363" t="s">
        <v>514</v>
      </c>
      <c r="C39" s="353" t="s">
        <v>507</v>
      </c>
      <c r="D39" s="353" t="s">
        <v>507</v>
      </c>
      <c r="E39" s="353" t="s">
        <v>507</v>
      </c>
      <c r="F39" s="353" t="s">
        <v>507</v>
      </c>
      <c r="G39" s="353" t="s">
        <v>507</v>
      </c>
      <c r="H39" s="353" t="s">
        <v>507</v>
      </c>
      <c r="I39" s="353" t="s">
        <v>508</v>
      </c>
      <c r="J39" s="353" t="s">
        <v>507</v>
      </c>
      <c r="K39" s="353" t="s">
        <v>507</v>
      </c>
      <c r="L39" s="353" t="s">
        <v>507</v>
      </c>
      <c r="M39" s="353" t="s">
        <v>507</v>
      </c>
      <c r="N39" s="353" t="s">
        <v>507</v>
      </c>
      <c r="O39" s="353" t="s">
        <v>507</v>
      </c>
      <c r="P39" s="353" t="s">
        <v>507</v>
      </c>
      <c r="Q39" s="353" t="s">
        <v>507</v>
      </c>
      <c r="R39" s="353" t="s">
        <v>507</v>
      </c>
      <c r="S39" s="353" t="s">
        <v>507</v>
      </c>
      <c r="T39" s="353" t="s">
        <v>507</v>
      </c>
      <c r="U39" s="353" t="s">
        <v>507</v>
      </c>
      <c r="V39" s="352">
        <f t="shared" si="3"/>
        <v>18</v>
      </c>
    </row>
    <row r="40" spans="1:22" s="361" customFormat="1" ht="20.25" customHeight="1">
      <c r="A40" s="362">
        <v>4</v>
      </c>
      <c r="B40" s="363" t="s">
        <v>515</v>
      </c>
      <c r="C40" s="353" t="s">
        <v>507</v>
      </c>
      <c r="D40" s="353" t="s">
        <v>507</v>
      </c>
      <c r="E40" s="353" t="s">
        <v>507</v>
      </c>
      <c r="F40" s="353" t="s">
        <v>507</v>
      </c>
      <c r="G40" s="353" t="s">
        <v>507</v>
      </c>
      <c r="H40" s="353" t="s">
        <v>507</v>
      </c>
      <c r="I40" s="353" t="s">
        <v>508</v>
      </c>
      <c r="J40" s="353" t="s">
        <v>507</v>
      </c>
      <c r="K40" s="353" t="s">
        <v>507</v>
      </c>
      <c r="L40" s="353" t="s">
        <v>507</v>
      </c>
      <c r="M40" s="353" t="s">
        <v>507</v>
      </c>
      <c r="N40" s="353" t="s">
        <v>507</v>
      </c>
      <c r="O40" s="353" t="s">
        <v>507</v>
      </c>
      <c r="P40" s="353" t="s">
        <v>507</v>
      </c>
      <c r="Q40" s="353" t="s">
        <v>507</v>
      </c>
      <c r="R40" s="353" t="s">
        <v>507</v>
      </c>
      <c r="S40" s="353" t="s">
        <v>507</v>
      </c>
      <c r="T40" s="353" t="s">
        <v>507</v>
      </c>
      <c r="U40" s="353" t="s">
        <v>507</v>
      </c>
      <c r="V40" s="352">
        <f t="shared" si="3"/>
        <v>18</v>
      </c>
    </row>
    <row r="41" spans="1:22" s="361" customFormat="1" ht="20.25" customHeight="1">
      <c r="A41" s="362">
        <v>5</v>
      </c>
      <c r="B41" s="363" t="s">
        <v>516</v>
      </c>
      <c r="C41" s="353" t="s">
        <v>507</v>
      </c>
      <c r="D41" s="353" t="s">
        <v>507</v>
      </c>
      <c r="E41" s="353" t="s">
        <v>507</v>
      </c>
      <c r="F41" s="353" t="s">
        <v>507</v>
      </c>
      <c r="G41" s="353" t="s">
        <v>507</v>
      </c>
      <c r="H41" s="353" t="s">
        <v>507</v>
      </c>
      <c r="I41" s="353" t="s">
        <v>507</v>
      </c>
      <c r="J41" s="353" t="s">
        <v>507</v>
      </c>
      <c r="K41" s="353" t="s">
        <v>507</v>
      </c>
      <c r="L41" s="353" t="s">
        <v>507</v>
      </c>
      <c r="M41" s="353" t="s">
        <v>507</v>
      </c>
      <c r="N41" s="353" t="s">
        <v>507</v>
      </c>
      <c r="O41" s="353" t="s">
        <v>507</v>
      </c>
      <c r="P41" s="353" t="s">
        <v>507</v>
      </c>
      <c r="Q41" s="353" t="s">
        <v>507</v>
      </c>
      <c r="R41" s="353" t="s">
        <v>507</v>
      </c>
      <c r="S41" s="353" t="s">
        <v>507</v>
      </c>
      <c r="T41" s="353" t="s">
        <v>507</v>
      </c>
      <c r="U41" s="353" t="s">
        <v>507</v>
      </c>
      <c r="V41" s="352">
        <f t="shared" si="3"/>
        <v>19</v>
      </c>
    </row>
    <row r="42" spans="1:22" s="361" customFormat="1" ht="20.25" customHeight="1">
      <c r="A42" s="362">
        <v>6</v>
      </c>
      <c r="B42" s="363" t="s">
        <v>517</v>
      </c>
      <c r="C42" s="353" t="s">
        <v>507</v>
      </c>
      <c r="D42" s="353" t="s">
        <v>507</v>
      </c>
      <c r="E42" s="353" t="s">
        <v>507</v>
      </c>
      <c r="F42" s="353" t="s">
        <v>507</v>
      </c>
      <c r="G42" s="353" t="s">
        <v>507</v>
      </c>
      <c r="H42" s="353" t="s">
        <v>507</v>
      </c>
      <c r="I42" s="353" t="s">
        <v>508</v>
      </c>
      <c r="J42" s="353" t="s">
        <v>507</v>
      </c>
      <c r="K42" s="353" t="s">
        <v>507</v>
      </c>
      <c r="L42" s="353" t="s">
        <v>507</v>
      </c>
      <c r="M42" s="353" t="s">
        <v>507</v>
      </c>
      <c r="N42" s="353" t="s">
        <v>507</v>
      </c>
      <c r="O42" s="353" t="s">
        <v>507</v>
      </c>
      <c r="P42" s="353" t="s">
        <v>507</v>
      </c>
      <c r="Q42" s="353" t="s">
        <v>507</v>
      </c>
      <c r="R42" s="353" t="s">
        <v>507</v>
      </c>
      <c r="S42" s="353" t="s">
        <v>507</v>
      </c>
      <c r="T42" s="353" t="s">
        <v>507</v>
      </c>
      <c r="U42" s="353" t="s">
        <v>507</v>
      </c>
      <c r="V42" s="352">
        <f t="shared" si="3"/>
        <v>18</v>
      </c>
    </row>
    <row r="43" spans="1:22" s="361" customFormat="1" ht="20.25" customHeight="1">
      <c r="A43" s="362">
        <v>7</v>
      </c>
      <c r="B43" s="363" t="s">
        <v>518</v>
      </c>
      <c r="C43" s="353" t="s">
        <v>507</v>
      </c>
      <c r="D43" s="364" t="s">
        <v>509</v>
      </c>
      <c r="E43" s="353" t="s">
        <v>507</v>
      </c>
      <c r="F43" s="353" t="s">
        <v>507</v>
      </c>
      <c r="G43" s="353" t="s">
        <v>507</v>
      </c>
      <c r="H43" s="364" t="s">
        <v>509</v>
      </c>
      <c r="I43" s="364" t="s">
        <v>509</v>
      </c>
      <c r="J43" s="364" t="s">
        <v>509</v>
      </c>
      <c r="K43" s="364" t="s">
        <v>509</v>
      </c>
      <c r="L43" s="353" t="s">
        <v>507</v>
      </c>
      <c r="M43" s="353" t="s">
        <v>507</v>
      </c>
      <c r="N43" s="353" t="s">
        <v>507</v>
      </c>
      <c r="O43" s="353" t="s">
        <v>507</v>
      </c>
      <c r="P43" s="353" t="s">
        <v>507</v>
      </c>
      <c r="Q43" s="353" t="s">
        <v>507</v>
      </c>
      <c r="R43" s="353" t="s">
        <v>507</v>
      </c>
      <c r="S43" s="364" t="s">
        <v>509</v>
      </c>
      <c r="T43" s="353" t="s">
        <v>507</v>
      </c>
      <c r="U43" s="353" t="s">
        <v>507</v>
      </c>
      <c r="V43" s="352">
        <f t="shared" si="3"/>
        <v>13</v>
      </c>
    </row>
    <row r="44" spans="1:22" s="361" customFormat="1" ht="20.25" customHeight="1">
      <c r="A44" s="362">
        <v>8</v>
      </c>
      <c r="B44" s="363" t="s">
        <v>519</v>
      </c>
      <c r="C44" s="353" t="s">
        <v>507</v>
      </c>
      <c r="D44" s="353" t="s">
        <v>507</v>
      </c>
      <c r="E44" s="353" t="s">
        <v>507</v>
      </c>
      <c r="F44" s="353" t="s">
        <v>507</v>
      </c>
      <c r="G44" s="353" t="s">
        <v>507</v>
      </c>
      <c r="H44" s="364" t="s">
        <v>509</v>
      </c>
      <c r="I44" s="353" t="s">
        <v>507</v>
      </c>
      <c r="J44" s="353" t="s">
        <v>507</v>
      </c>
      <c r="K44" s="364" t="s">
        <v>509</v>
      </c>
      <c r="L44" s="364" t="s">
        <v>509</v>
      </c>
      <c r="M44" s="364" t="s">
        <v>509</v>
      </c>
      <c r="N44" s="353" t="s">
        <v>507</v>
      </c>
      <c r="O44" s="353" t="s">
        <v>507</v>
      </c>
      <c r="P44" s="353" t="s">
        <v>507</v>
      </c>
      <c r="Q44" s="353" t="s">
        <v>507</v>
      </c>
      <c r="R44" s="364" t="s">
        <v>509</v>
      </c>
      <c r="S44" s="364" t="s">
        <v>509</v>
      </c>
      <c r="T44" s="364" t="s">
        <v>509</v>
      </c>
      <c r="U44" s="353" t="s">
        <v>507</v>
      </c>
      <c r="V44" s="352">
        <f t="shared" si="3"/>
        <v>12</v>
      </c>
    </row>
    <row r="45" spans="1:22" s="361" customFormat="1" ht="20.25" customHeight="1">
      <c r="A45" s="362">
        <v>9</v>
      </c>
      <c r="B45" s="363" t="s">
        <v>520</v>
      </c>
      <c r="C45" s="353" t="s">
        <v>507</v>
      </c>
      <c r="D45" s="364" t="s">
        <v>509</v>
      </c>
      <c r="E45" s="353" t="s">
        <v>507</v>
      </c>
      <c r="F45" s="353" t="s">
        <v>507</v>
      </c>
      <c r="G45" s="353" t="s">
        <v>507</v>
      </c>
      <c r="H45" s="364" t="s">
        <v>509</v>
      </c>
      <c r="I45" s="353" t="s">
        <v>508</v>
      </c>
      <c r="J45" s="353" t="s">
        <v>507</v>
      </c>
      <c r="K45" s="353" t="s">
        <v>507</v>
      </c>
      <c r="L45" s="364" t="s">
        <v>509</v>
      </c>
      <c r="M45" s="364" t="s">
        <v>509</v>
      </c>
      <c r="N45" s="353" t="s">
        <v>507</v>
      </c>
      <c r="O45" s="353" t="s">
        <v>507</v>
      </c>
      <c r="P45" s="353" t="s">
        <v>507</v>
      </c>
      <c r="Q45" s="353" t="s">
        <v>507</v>
      </c>
      <c r="R45" s="353" t="s">
        <v>507</v>
      </c>
      <c r="S45" s="364" t="s">
        <v>509</v>
      </c>
      <c r="T45" s="364" t="s">
        <v>509</v>
      </c>
      <c r="U45" s="353" t="s">
        <v>507</v>
      </c>
      <c r="V45" s="352">
        <f t="shared" si="3"/>
        <v>12</v>
      </c>
    </row>
    <row r="46" spans="1:22" s="361" customFormat="1" ht="20.25" customHeight="1">
      <c r="A46" s="362">
        <v>10</v>
      </c>
      <c r="B46" s="363" t="s">
        <v>521</v>
      </c>
      <c r="C46" s="353" t="s">
        <v>507</v>
      </c>
      <c r="D46" s="353" t="s">
        <v>507</v>
      </c>
      <c r="E46" s="364" t="s">
        <v>509</v>
      </c>
      <c r="F46" s="353" t="s">
        <v>507</v>
      </c>
      <c r="G46" s="353" t="s">
        <v>507</v>
      </c>
      <c r="H46" s="353" t="s">
        <v>507</v>
      </c>
      <c r="I46" s="353" t="s">
        <v>508</v>
      </c>
      <c r="J46" s="353" t="s">
        <v>507</v>
      </c>
      <c r="K46" s="353" t="s">
        <v>507</v>
      </c>
      <c r="L46" s="364" t="s">
        <v>509</v>
      </c>
      <c r="M46" s="364" t="s">
        <v>509</v>
      </c>
      <c r="N46" s="353" t="s">
        <v>507</v>
      </c>
      <c r="O46" s="353" t="s">
        <v>507</v>
      </c>
      <c r="P46" s="353" t="s">
        <v>507</v>
      </c>
      <c r="Q46" s="353" t="s">
        <v>507</v>
      </c>
      <c r="R46" s="364" t="s">
        <v>509</v>
      </c>
      <c r="S46" s="364" t="s">
        <v>509</v>
      </c>
      <c r="T46" s="364" t="s">
        <v>509</v>
      </c>
      <c r="U46" s="353" t="s">
        <v>507</v>
      </c>
      <c r="V46" s="352">
        <f t="shared" si="3"/>
        <v>12</v>
      </c>
    </row>
    <row r="47" spans="1:22" s="361" customFormat="1" ht="20.25" customHeight="1">
      <c r="A47" s="362">
        <v>11</v>
      </c>
      <c r="B47" s="363" t="s">
        <v>522</v>
      </c>
      <c r="C47" s="353" t="s">
        <v>507</v>
      </c>
      <c r="D47" s="364" t="s">
        <v>509</v>
      </c>
      <c r="E47" s="364" t="s">
        <v>509</v>
      </c>
      <c r="F47" s="353" t="s">
        <v>507</v>
      </c>
      <c r="G47" s="353" t="s">
        <v>507</v>
      </c>
      <c r="H47" s="353" t="s">
        <v>507</v>
      </c>
      <c r="I47" s="353" t="s">
        <v>508</v>
      </c>
      <c r="J47" s="353" t="s">
        <v>507</v>
      </c>
      <c r="K47" s="353" t="s">
        <v>507</v>
      </c>
      <c r="L47" s="364" t="s">
        <v>509</v>
      </c>
      <c r="M47" s="364" t="s">
        <v>509</v>
      </c>
      <c r="N47" s="353" t="s">
        <v>507</v>
      </c>
      <c r="O47" s="364" t="s">
        <v>509</v>
      </c>
      <c r="P47" s="353" t="s">
        <v>507</v>
      </c>
      <c r="Q47" s="353" t="s">
        <v>507</v>
      </c>
      <c r="R47" s="353" t="s">
        <v>507</v>
      </c>
      <c r="S47" s="364" t="s">
        <v>509</v>
      </c>
      <c r="T47" s="353" t="s">
        <v>509</v>
      </c>
      <c r="U47" s="353" t="s">
        <v>507</v>
      </c>
      <c r="V47" s="352">
        <f t="shared" si="3"/>
        <v>11</v>
      </c>
    </row>
    <row r="48" spans="1:22" s="444" customFormat="1" ht="20.25" customHeight="1">
      <c r="A48" s="583" t="s">
        <v>523</v>
      </c>
      <c r="B48" s="583"/>
      <c r="C48" s="441">
        <f>COUNTIF(C49:C73,"Đạt")</f>
        <v>25</v>
      </c>
      <c r="D48" s="441">
        <f t="shared" ref="D48:U48" si="4">COUNTIF(D49:D73,"Đạt")</f>
        <v>10</v>
      </c>
      <c r="E48" s="441">
        <f t="shared" si="4"/>
        <v>11</v>
      </c>
      <c r="F48" s="441">
        <v>18</v>
      </c>
      <c r="G48" s="441">
        <f t="shared" si="4"/>
        <v>14</v>
      </c>
      <c r="H48" s="441">
        <f t="shared" si="4"/>
        <v>10</v>
      </c>
      <c r="I48" s="441">
        <f t="shared" si="4"/>
        <v>15</v>
      </c>
      <c r="J48" s="441">
        <f t="shared" si="4"/>
        <v>24</v>
      </c>
      <c r="K48" s="441">
        <f t="shared" si="4"/>
        <v>21</v>
      </c>
      <c r="L48" s="441">
        <f t="shared" si="4"/>
        <v>11</v>
      </c>
      <c r="M48" s="441">
        <f t="shared" si="4"/>
        <v>13</v>
      </c>
      <c r="N48" s="441">
        <f t="shared" si="4"/>
        <v>25</v>
      </c>
      <c r="O48" s="441">
        <f t="shared" si="4"/>
        <v>19</v>
      </c>
      <c r="P48" s="441">
        <f t="shared" si="4"/>
        <v>25</v>
      </c>
      <c r="Q48" s="441">
        <f t="shared" si="4"/>
        <v>21</v>
      </c>
      <c r="R48" s="441">
        <f t="shared" si="4"/>
        <v>17</v>
      </c>
      <c r="S48" s="441">
        <f t="shared" si="4"/>
        <v>9</v>
      </c>
      <c r="T48" s="441">
        <f t="shared" si="4"/>
        <v>19</v>
      </c>
      <c r="U48" s="441">
        <f t="shared" si="4"/>
        <v>22</v>
      </c>
      <c r="V48" s="442"/>
    </row>
    <row r="49" spans="1:22" s="361" customFormat="1" ht="20.25" customHeight="1">
      <c r="A49" s="366">
        <v>1</v>
      </c>
      <c r="B49" s="367" t="s">
        <v>232</v>
      </c>
      <c r="C49" s="368" t="s">
        <v>507</v>
      </c>
      <c r="D49" s="369" t="s">
        <v>507</v>
      </c>
      <c r="E49" s="369" t="s">
        <v>507</v>
      </c>
      <c r="F49" s="368" t="s">
        <v>507</v>
      </c>
      <c r="G49" s="369" t="s">
        <v>507</v>
      </c>
      <c r="H49" s="370" t="s">
        <v>507</v>
      </c>
      <c r="I49" s="368" t="s">
        <v>507</v>
      </c>
      <c r="J49" s="368" t="s">
        <v>507</v>
      </c>
      <c r="K49" s="370" t="s">
        <v>507</v>
      </c>
      <c r="L49" s="369" t="s">
        <v>507</v>
      </c>
      <c r="M49" s="371" t="s">
        <v>507</v>
      </c>
      <c r="N49" s="368" t="s">
        <v>507</v>
      </c>
      <c r="O49" s="369" t="s">
        <v>507</v>
      </c>
      <c r="P49" s="368" t="s">
        <v>507</v>
      </c>
      <c r="Q49" s="370" t="s">
        <v>507</v>
      </c>
      <c r="R49" s="370" t="s">
        <v>507</v>
      </c>
      <c r="S49" s="370" t="s">
        <v>507</v>
      </c>
      <c r="T49" s="368" t="s">
        <v>507</v>
      </c>
      <c r="U49" s="370" t="s">
        <v>507</v>
      </c>
      <c r="V49" s="352">
        <f t="shared" ref="V49:V73" si="5">COUNTIF(C49:U49,"Đạt")</f>
        <v>19</v>
      </c>
    </row>
    <row r="50" spans="1:22" s="361" customFormat="1" ht="20.25" customHeight="1">
      <c r="A50" s="366">
        <v>2</v>
      </c>
      <c r="B50" s="367" t="s">
        <v>239</v>
      </c>
      <c r="C50" s="368" t="s">
        <v>507</v>
      </c>
      <c r="D50" s="370" t="s">
        <v>507</v>
      </c>
      <c r="E50" s="370" t="s">
        <v>507</v>
      </c>
      <c r="F50" s="370" t="s">
        <v>507</v>
      </c>
      <c r="G50" s="370" t="s">
        <v>507</v>
      </c>
      <c r="H50" s="370" t="s">
        <v>507</v>
      </c>
      <c r="I50" s="370" t="s">
        <v>507</v>
      </c>
      <c r="J50" s="370" t="s">
        <v>507</v>
      </c>
      <c r="K50" s="370" t="s">
        <v>507</v>
      </c>
      <c r="L50" s="370" t="s">
        <v>507</v>
      </c>
      <c r="M50" s="371" t="s">
        <v>507</v>
      </c>
      <c r="N50" s="368" t="s">
        <v>507</v>
      </c>
      <c r="O50" s="369" t="s">
        <v>507</v>
      </c>
      <c r="P50" s="368" t="s">
        <v>507</v>
      </c>
      <c r="Q50" s="370" t="s">
        <v>507</v>
      </c>
      <c r="R50" s="370" t="s">
        <v>507</v>
      </c>
      <c r="S50" s="370" t="s">
        <v>507</v>
      </c>
      <c r="T50" s="370" t="s">
        <v>507</v>
      </c>
      <c r="U50" s="370" t="s">
        <v>507</v>
      </c>
      <c r="V50" s="352">
        <f t="shared" si="5"/>
        <v>19</v>
      </c>
    </row>
    <row r="51" spans="1:22" s="361" customFormat="1" ht="20.25" customHeight="1">
      <c r="A51" s="366">
        <v>3</v>
      </c>
      <c r="B51" s="367" t="s">
        <v>524</v>
      </c>
      <c r="C51" s="368" t="s">
        <v>507</v>
      </c>
      <c r="D51" s="368" t="s">
        <v>507</v>
      </c>
      <c r="E51" s="368" t="s">
        <v>507</v>
      </c>
      <c r="F51" s="368" t="s">
        <v>507</v>
      </c>
      <c r="G51" s="368" t="s">
        <v>507</v>
      </c>
      <c r="H51" s="368" t="s">
        <v>507</v>
      </c>
      <c r="I51" s="368" t="s">
        <v>507</v>
      </c>
      <c r="J51" s="368" t="s">
        <v>507</v>
      </c>
      <c r="K51" s="368" t="s">
        <v>507</v>
      </c>
      <c r="L51" s="368" t="s">
        <v>507</v>
      </c>
      <c r="M51" s="368" t="s">
        <v>507</v>
      </c>
      <c r="N51" s="368" t="s">
        <v>507</v>
      </c>
      <c r="O51" s="368" t="s">
        <v>507</v>
      </c>
      <c r="P51" s="368" t="s">
        <v>507</v>
      </c>
      <c r="Q51" s="368" t="s">
        <v>507</v>
      </c>
      <c r="R51" s="368" t="s">
        <v>507</v>
      </c>
      <c r="S51" s="368" t="s">
        <v>507</v>
      </c>
      <c r="T51" s="368" t="s">
        <v>507</v>
      </c>
      <c r="U51" s="368" t="s">
        <v>507</v>
      </c>
      <c r="V51" s="352">
        <f t="shared" si="5"/>
        <v>19</v>
      </c>
    </row>
    <row r="52" spans="1:22" s="361" customFormat="1" ht="20.25" customHeight="1">
      <c r="A52" s="366">
        <v>4</v>
      </c>
      <c r="B52" s="367" t="s">
        <v>234</v>
      </c>
      <c r="C52" s="358" t="s">
        <v>507</v>
      </c>
      <c r="D52" s="358" t="s">
        <v>507</v>
      </c>
      <c r="E52" s="358" t="s">
        <v>507</v>
      </c>
      <c r="F52" s="358" t="s">
        <v>507</v>
      </c>
      <c r="G52" s="357" t="s">
        <v>507</v>
      </c>
      <c r="H52" s="358" t="s">
        <v>507</v>
      </c>
      <c r="I52" s="362" t="s">
        <v>507</v>
      </c>
      <c r="J52" s="358" t="s">
        <v>507</v>
      </c>
      <c r="K52" s="358" t="s">
        <v>507</v>
      </c>
      <c r="L52" s="357" t="s">
        <v>507</v>
      </c>
      <c r="M52" s="357" t="s">
        <v>507</v>
      </c>
      <c r="N52" s="358" t="s">
        <v>507</v>
      </c>
      <c r="O52" s="358" t="s">
        <v>507</v>
      </c>
      <c r="P52" s="357" t="s">
        <v>507</v>
      </c>
      <c r="Q52" s="357" t="s">
        <v>507</v>
      </c>
      <c r="R52" s="357" t="s">
        <v>507</v>
      </c>
      <c r="S52" s="358" t="s">
        <v>507</v>
      </c>
      <c r="T52" s="358" t="s">
        <v>507</v>
      </c>
      <c r="U52" s="357" t="s">
        <v>507</v>
      </c>
      <c r="V52" s="352">
        <f t="shared" si="5"/>
        <v>19</v>
      </c>
    </row>
    <row r="53" spans="1:22" s="361" customFormat="1" ht="20.25" customHeight="1">
      <c r="A53" s="366">
        <v>5</v>
      </c>
      <c r="B53" s="367" t="s">
        <v>525</v>
      </c>
      <c r="C53" s="368" t="s">
        <v>507</v>
      </c>
      <c r="D53" s="369" t="s">
        <v>507</v>
      </c>
      <c r="E53" s="369" t="s">
        <v>507</v>
      </c>
      <c r="F53" s="368" t="s">
        <v>507</v>
      </c>
      <c r="G53" s="369" t="s">
        <v>507</v>
      </c>
      <c r="H53" s="370" t="s">
        <v>507</v>
      </c>
      <c r="I53" s="368" t="s">
        <v>507</v>
      </c>
      <c r="J53" s="368" t="s">
        <v>507</v>
      </c>
      <c r="K53" s="370" t="s">
        <v>507</v>
      </c>
      <c r="L53" s="369" t="s">
        <v>507</v>
      </c>
      <c r="M53" s="371" t="s">
        <v>507</v>
      </c>
      <c r="N53" s="368" t="s">
        <v>507</v>
      </c>
      <c r="O53" s="369" t="s">
        <v>507</v>
      </c>
      <c r="P53" s="368" t="s">
        <v>507</v>
      </c>
      <c r="Q53" s="370" t="s">
        <v>507</v>
      </c>
      <c r="R53" s="370" t="s">
        <v>507</v>
      </c>
      <c r="S53" s="370" t="s">
        <v>507</v>
      </c>
      <c r="T53" s="368" t="s">
        <v>507</v>
      </c>
      <c r="U53" s="370" t="s">
        <v>507</v>
      </c>
      <c r="V53" s="352">
        <f t="shared" si="5"/>
        <v>19</v>
      </c>
    </row>
    <row r="54" spans="1:22" s="361" customFormat="1" ht="20.25" customHeight="1">
      <c r="A54" s="366">
        <v>6</v>
      </c>
      <c r="B54" s="367" t="s">
        <v>237</v>
      </c>
      <c r="C54" s="368" t="s">
        <v>507</v>
      </c>
      <c r="D54" s="370" t="s">
        <v>507</v>
      </c>
      <c r="E54" s="370" t="s">
        <v>507</v>
      </c>
      <c r="F54" s="370" t="s">
        <v>507</v>
      </c>
      <c r="G54" s="370" t="s">
        <v>507</v>
      </c>
      <c r="H54" s="370" t="s">
        <v>507</v>
      </c>
      <c r="I54" s="368" t="s">
        <v>508</v>
      </c>
      <c r="J54" s="370" t="s">
        <v>507</v>
      </c>
      <c r="K54" s="370" t="s">
        <v>507</v>
      </c>
      <c r="L54" s="370" t="s">
        <v>507</v>
      </c>
      <c r="M54" s="371" t="s">
        <v>507</v>
      </c>
      <c r="N54" s="368" t="s">
        <v>507</v>
      </c>
      <c r="O54" s="370" t="s">
        <v>507</v>
      </c>
      <c r="P54" s="368" t="s">
        <v>507</v>
      </c>
      <c r="Q54" s="370" t="s">
        <v>507</v>
      </c>
      <c r="R54" s="370" t="s">
        <v>507</v>
      </c>
      <c r="S54" s="370" t="s">
        <v>507</v>
      </c>
      <c r="T54" s="370" t="s">
        <v>507</v>
      </c>
      <c r="U54" s="370" t="s">
        <v>507</v>
      </c>
      <c r="V54" s="352">
        <f t="shared" si="5"/>
        <v>18</v>
      </c>
    </row>
    <row r="55" spans="1:22" s="361" customFormat="1" ht="20.25" customHeight="1">
      <c r="A55" s="366">
        <v>7</v>
      </c>
      <c r="B55" s="367" t="s">
        <v>238</v>
      </c>
      <c r="C55" s="368" t="s">
        <v>507</v>
      </c>
      <c r="D55" s="369" t="s">
        <v>507</v>
      </c>
      <c r="E55" s="369" t="s">
        <v>507</v>
      </c>
      <c r="F55" s="368" t="s">
        <v>507</v>
      </c>
      <c r="G55" s="369" t="s">
        <v>507</v>
      </c>
      <c r="H55" s="370" t="s">
        <v>507</v>
      </c>
      <c r="I55" s="368" t="s">
        <v>508</v>
      </c>
      <c r="J55" s="368" t="s">
        <v>507</v>
      </c>
      <c r="K55" s="370" t="s">
        <v>507</v>
      </c>
      <c r="L55" s="369" t="s">
        <v>507</v>
      </c>
      <c r="M55" s="371" t="s">
        <v>507</v>
      </c>
      <c r="N55" s="368" t="s">
        <v>507</v>
      </c>
      <c r="O55" s="369" t="s">
        <v>507</v>
      </c>
      <c r="P55" s="368" t="s">
        <v>507</v>
      </c>
      <c r="Q55" s="370" t="s">
        <v>507</v>
      </c>
      <c r="R55" s="370" t="s">
        <v>507</v>
      </c>
      <c r="S55" s="370" t="s">
        <v>507</v>
      </c>
      <c r="T55" s="368" t="s">
        <v>507</v>
      </c>
      <c r="U55" s="370" t="s">
        <v>507</v>
      </c>
      <c r="V55" s="352">
        <f t="shared" si="5"/>
        <v>18</v>
      </c>
    </row>
    <row r="56" spans="1:22" s="361" customFormat="1" ht="20.25" customHeight="1">
      <c r="A56" s="366">
        <v>8</v>
      </c>
      <c r="B56" s="367" t="s">
        <v>526</v>
      </c>
      <c r="C56" s="368" t="s">
        <v>507</v>
      </c>
      <c r="D56" s="369" t="s">
        <v>507</v>
      </c>
      <c r="E56" s="369" t="s">
        <v>507</v>
      </c>
      <c r="F56" s="368" t="s">
        <v>507</v>
      </c>
      <c r="G56" s="369" t="s">
        <v>507</v>
      </c>
      <c r="H56" s="370" t="s">
        <v>507</v>
      </c>
      <c r="I56" s="368" t="s">
        <v>508</v>
      </c>
      <c r="J56" s="368" t="s">
        <v>507</v>
      </c>
      <c r="K56" s="370" t="s">
        <v>507</v>
      </c>
      <c r="L56" s="369" t="s">
        <v>507</v>
      </c>
      <c r="M56" s="371" t="s">
        <v>507</v>
      </c>
      <c r="N56" s="368" t="s">
        <v>507</v>
      </c>
      <c r="O56" s="369" t="s">
        <v>507</v>
      </c>
      <c r="P56" s="368" t="s">
        <v>507</v>
      </c>
      <c r="Q56" s="370" t="s">
        <v>507</v>
      </c>
      <c r="R56" s="370" t="s">
        <v>507</v>
      </c>
      <c r="S56" s="370" t="s">
        <v>507</v>
      </c>
      <c r="T56" s="368" t="s">
        <v>507</v>
      </c>
      <c r="U56" s="370" t="s">
        <v>507</v>
      </c>
      <c r="V56" s="352">
        <f t="shared" si="5"/>
        <v>18</v>
      </c>
    </row>
    <row r="57" spans="1:22" ht="20.25" customHeight="1">
      <c r="A57" s="366">
        <v>9</v>
      </c>
      <c r="B57" s="367" t="s">
        <v>230</v>
      </c>
      <c r="C57" s="368" t="s">
        <v>507</v>
      </c>
      <c r="D57" s="369" t="s">
        <v>507</v>
      </c>
      <c r="E57" s="369" t="s">
        <v>507</v>
      </c>
      <c r="F57" s="368" t="s">
        <v>507</v>
      </c>
      <c r="G57" s="369" t="s">
        <v>507</v>
      </c>
      <c r="H57" s="370" t="s">
        <v>507</v>
      </c>
      <c r="I57" s="368" t="s">
        <v>508</v>
      </c>
      <c r="J57" s="368" t="s">
        <v>507</v>
      </c>
      <c r="K57" s="370" t="s">
        <v>507</v>
      </c>
      <c r="L57" s="369" t="s">
        <v>507</v>
      </c>
      <c r="M57" s="371" t="s">
        <v>507</v>
      </c>
      <c r="N57" s="368" t="s">
        <v>507</v>
      </c>
      <c r="O57" s="369" t="s">
        <v>507</v>
      </c>
      <c r="P57" s="368" t="s">
        <v>507</v>
      </c>
      <c r="Q57" s="370" t="s">
        <v>507</v>
      </c>
      <c r="R57" s="370" t="s">
        <v>507</v>
      </c>
      <c r="S57" s="370" t="s">
        <v>507</v>
      </c>
      <c r="T57" s="368" t="s">
        <v>507</v>
      </c>
      <c r="U57" s="370" t="s">
        <v>507</v>
      </c>
      <c r="V57" s="352">
        <f t="shared" si="5"/>
        <v>18</v>
      </c>
    </row>
    <row r="58" spans="1:22" ht="20.25" customHeight="1">
      <c r="A58" s="366">
        <v>10</v>
      </c>
      <c r="B58" s="367" t="s">
        <v>527</v>
      </c>
      <c r="C58" s="368" t="s">
        <v>507</v>
      </c>
      <c r="D58" s="370" t="s">
        <v>509</v>
      </c>
      <c r="E58" s="370" t="s">
        <v>509</v>
      </c>
      <c r="F58" s="368" t="s">
        <v>507</v>
      </c>
      <c r="G58" s="369" t="s">
        <v>507</v>
      </c>
      <c r="H58" s="369" t="s">
        <v>507</v>
      </c>
      <c r="I58" s="370" t="s">
        <v>507</v>
      </c>
      <c r="J58" s="368" t="s">
        <v>507</v>
      </c>
      <c r="K58" s="370" t="s">
        <v>507</v>
      </c>
      <c r="L58" s="370" t="s">
        <v>509</v>
      </c>
      <c r="M58" s="371" t="s">
        <v>509</v>
      </c>
      <c r="N58" s="368" t="s">
        <v>507</v>
      </c>
      <c r="O58" s="369" t="s">
        <v>507</v>
      </c>
      <c r="P58" s="368" t="s">
        <v>507</v>
      </c>
      <c r="Q58" s="370" t="s">
        <v>507</v>
      </c>
      <c r="R58" s="370" t="s">
        <v>507</v>
      </c>
      <c r="S58" s="370" t="s">
        <v>509</v>
      </c>
      <c r="T58" s="370" t="s">
        <v>507</v>
      </c>
      <c r="U58" s="370" t="s">
        <v>507</v>
      </c>
      <c r="V58" s="352">
        <f t="shared" si="5"/>
        <v>14</v>
      </c>
    </row>
    <row r="59" spans="1:22" ht="20.25" customHeight="1">
      <c r="A59" s="366">
        <v>11</v>
      </c>
      <c r="B59" s="367" t="s">
        <v>528</v>
      </c>
      <c r="C59" s="370" t="s">
        <v>507</v>
      </c>
      <c r="D59" s="370" t="s">
        <v>507</v>
      </c>
      <c r="E59" s="370" t="s">
        <v>509</v>
      </c>
      <c r="F59" s="370" t="s">
        <v>507</v>
      </c>
      <c r="G59" s="370" t="s">
        <v>509</v>
      </c>
      <c r="H59" s="370" t="s">
        <v>509</v>
      </c>
      <c r="I59" s="372" t="s">
        <v>507</v>
      </c>
      <c r="J59" s="370" t="s">
        <v>507</v>
      </c>
      <c r="K59" s="370" t="s">
        <v>507</v>
      </c>
      <c r="L59" s="370" t="s">
        <v>507</v>
      </c>
      <c r="M59" s="371" t="s">
        <v>507</v>
      </c>
      <c r="N59" s="368" t="s">
        <v>507</v>
      </c>
      <c r="O59" s="369" t="s">
        <v>507</v>
      </c>
      <c r="P59" s="368" t="s">
        <v>507</v>
      </c>
      <c r="Q59" s="370" t="s">
        <v>509</v>
      </c>
      <c r="R59" s="370" t="s">
        <v>507</v>
      </c>
      <c r="S59" s="370" t="s">
        <v>509</v>
      </c>
      <c r="T59" s="370" t="s">
        <v>507</v>
      </c>
      <c r="U59" s="370" t="s">
        <v>507</v>
      </c>
      <c r="V59" s="352">
        <f t="shared" si="5"/>
        <v>14</v>
      </c>
    </row>
    <row r="60" spans="1:22" ht="20.25" customHeight="1">
      <c r="A60" s="366">
        <v>12</v>
      </c>
      <c r="B60" s="367" t="s">
        <v>235</v>
      </c>
      <c r="C60" s="368" t="s">
        <v>507</v>
      </c>
      <c r="D60" s="358" t="s">
        <v>509</v>
      </c>
      <c r="E60" s="358" t="s">
        <v>509</v>
      </c>
      <c r="F60" s="368" t="s">
        <v>507</v>
      </c>
      <c r="G60" s="358" t="s">
        <v>507</v>
      </c>
      <c r="H60" s="358" t="s">
        <v>509</v>
      </c>
      <c r="I60" s="368" t="s">
        <v>507</v>
      </c>
      <c r="J60" s="368" t="s">
        <v>507</v>
      </c>
      <c r="K60" s="370" t="s">
        <v>507</v>
      </c>
      <c r="L60" s="357" t="s">
        <v>509</v>
      </c>
      <c r="M60" s="373" t="s">
        <v>509</v>
      </c>
      <c r="N60" s="368" t="s">
        <v>507</v>
      </c>
      <c r="O60" s="369" t="s">
        <v>507</v>
      </c>
      <c r="P60" s="368" t="s">
        <v>507</v>
      </c>
      <c r="Q60" s="358" t="s">
        <v>507</v>
      </c>
      <c r="R60" s="370" t="s">
        <v>507</v>
      </c>
      <c r="S60" s="358" t="s">
        <v>509</v>
      </c>
      <c r="T60" s="358" t="s">
        <v>507</v>
      </c>
      <c r="U60" s="370" t="s">
        <v>507</v>
      </c>
      <c r="V60" s="352">
        <f t="shared" si="5"/>
        <v>13</v>
      </c>
    </row>
    <row r="61" spans="1:22" ht="20.25" customHeight="1">
      <c r="A61" s="366">
        <v>13</v>
      </c>
      <c r="B61" s="367" t="s">
        <v>529</v>
      </c>
      <c r="C61" s="358" t="s">
        <v>507</v>
      </c>
      <c r="D61" s="369" t="s">
        <v>509</v>
      </c>
      <c r="E61" s="358" t="s">
        <v>507</v>
      </c>
      <c r="F61" s="368" t="s">
        <v>507</v>
      </c>
      <c r="G61" s="370" t="s">
        <v>509</v>
      </c>
      <c r="H61" s="370" t="s">
        <v>509</v>
      </c>
      <c r="I61" s="368" t="s">
        <v>507</v>
      </c>
      <c r="J61" s="368" t="s">
        <v>507</v>
      </c>
      <c r="K61" s="370" t="s">
        <v>509</v>
      </c>
      <c r="L61" s="369" t="s">
        <v>509</v>
      </c>
      <c r="M61" s="371" t="s">
        <v>509</v>
      </c>
      <c r="N61" s="368" t="s">
        <v>507</v>
      </c>
      <c r="O61" s="369" t="s">
        <v>507</v>
      </c>
      <c r="P61" s="368" t="s">
        <v>507</v>
      </c>
      <c r="Q61" s="370" t="s">
        <v>507</v>
      </c>
      <c r="R61" s="370" t="s">
        <v>507</v>
      </c>
      <c r="S61" s="370" t="s">
        <v>509</v>
      </c>
      <c r="T61" s="372" t="s">
        <v>509</v>
      </c>
      <c r="U61" s="370" t="s">
        <v>507</v>
      </c>
      <c r="V61" s="352">
        <f t="shared" si="5"/>
        <v>11</v>
      </c>
    </row>
    <row r="62" spans="1:22" ht="20.25" customHeight="1">
      <c r="A62" s="366">
        <v>14</v>
      </c>
      <c r="B62" s="367" t="s">
        <v>231</v>
      </c>
      <c r="C62" s="368" t="s">
        <v>507</v>
      </c>
      <c r="D62" s="374" t="s">
        <v>509</v>
      </c>
      <c r="E62" s="374" t="s">
        <v>509</v>
      </c>
      <c r="F62" s="368" t="s">
        <v>507</v>
      </c>
      <c r="G62" s="374" t="s">
        <v>509</v>
      </c>
      <c r="H62" s="374" t="s">
        <v>509</v>
      </c>
      <c r="I62" s="374" t="s">
        <v>507</v>
      </c>
      <c r="J62" s="368" t="s">
        <v>507</v>
      </c>
      <c r="K62" s="374" t="s">
        <v>509</v>
      </c>
      <c r="L62" s="374" t="s">
        <v>509</v>
      </c>
      <c r="M62" s="374" t="s">
        <v>507</v>
      </c>
      <c r="N62" s="368" t="s">
        <v>507</v>
      </c>
      <c r="O62" s="374" t="s">
        <v>509</v>
      </c>
      <c r="P62" s="368" t="s">
        <v>507</v>
      </c>
      <c r="Q62" s="368" t="s">
        <v>507</v>
      </c>
      <c r="R62" s="368" t="s">
        <v>507</v>
      </c>
      <c r="S62" s="374" t="s">
        <v>509</v>
      </c>
      <c r="T62" s="374" t="s">
        <v>507</v>
      </c>
      <c r="U62" s="368" t="s">
        <v>509</v>
      </c>
      <c r="V62" s="352">
        <f t="shared" si="5"/>
        <v>10</v>
      </c>
    </row>
    <row r="63" spans="1:22" ht="20.25" customHeight="1">
      <c r="A63" s="366">
        <v>15</v>
      </c>
      <c r="B63" s="367" t="s">
        <v>530</v>
      </c>
      <c r="C63" s="368" t="s">
        <v>507</v>
      </c>
      <c r="D63" s="369" t="s">
        <v>509</v>
      </c>
      <c r="E63" s="369" t="s">
        <v>507</v>
      </c>
      <c r="F63" s="368" t="s">
        <v>507</v>
      </c>
      <c r="G63" s="369" t="s">
        <v>509</v>
      </c>
      <c r="H63" s="370" t="s">
        <v>509</v>
      </c>
      <c r="I63" s="368" t="s">
        <v>508</v>
      </c>
      <c r="J63" s="368" t="s">
        <v>507</v>
      </c>
      <c r="K63" s="370" t="s">
        <v>509</v>
      </c>
      <c r="L63" s="369" t="s">
        <v>509</v>
      </c>
      <c r="M63" s="371" t="s">
        <v>507</v>
      </c>
      <c r="N63" s="368" t="s">
        <v>507</v>
      </c>
      <c r="O63" s="369" t="s">
        <v>507</v>
      </c>
      <c r="P63" s="368" t="s">
        <v>507</v>
      </c>
      <c r="Q63" s="368" t="s">
        <v>507</v>
      </c>
      <c r="R63" s="368" t="s">
        <v>509</v>
      </c>
      <c r="S63" s="368" t="s">
        <v>509</v>
      </c>
      <c r="T63" s="368" t="s">
        <v>509</v>
      </c>
      <c r="U63" s="368" t="s">
        <v>507</v>
      </c>
      <c r="V63" s="352">
        <f t="shared" si="5"/>
        <v>10</v>
      </c>
    </row>
    <row r="64" spans="1:22" ht="20.25" customHeight="1">
      <c r="A64" s="366">
        <v>16</v>
      </c>
      <c r="B64" s="367" t="s">
        <v>531</v>
      </c>
      <c r="C64" s="368" t="s">
        <v>507</v>
      </c>
      <c r="D64" s="372" t="s">
        <v>509</v>
      </c>
      <c r="E64" s="372" t="s">
        <v>509</v>
      </c>
      <c r="F64" s="368" t="s">
        <v>507</v>
      </c>
      <c r="G64" s="372" t="s">
        <v>509</v>
      </c>
      <c r="H64" s="372" t="s">
        <v>509</v>
      </c>
      <c r="I64" s="372" t="s">
        <v>508</v>
      </c>
      <c r="J64" s="368" t="s">
        <v>507</v>
      </c>
      <c r="K64" s="368" t="s">
        <v>507</v>
      </c>
      <c r="L64" s="372" t="s">
        <v>509</v>
      </c>
      <c r="M64" s="375" t="s">
        <v>509</v>
      </c>
      <c r="N64" s="368" t="s">
        <v>507</v>
      </c>
      <c r="O64" s="369" t="s">
        <v>507</v>
      </c>
      <c r="P64" s="368" t="s">
        <v>507</v>
      </c>
      <c r="Q64" s="368" t="s">
        <v>507</v>
      </c>
      <c r="R64" s="372" t="s">
        <v>509</v>
      </c>
      <c r="S64" s="372" t="s">
        <v>509</v>
      </c>
      <c r="T64" s="368" t="s">
        <v>507</v>
      </c>
      <c r="U64" s="368" t="s">
        <v>507</v>
      </c>
      <c r="V64" s="352">
        <f t="shared" si="5"/>
        <v>10</v>
      </c>
    </row>
    <row r="65" spans="1:22" ht="20.25" customHeight="1">
      <c r="A65" s="366">
        <v>17</v>
      </c>
      <c r="B65" s="367" t="s">
        <v>532</v>
      </c>
      <c r="C65" s="358" t="s">
        <v>507</v>
      </c>
      <c r="D65" s="358" t="s">
        <v>509</v>
      </c>
      <c r="E65" s="358" t="s">
        <v>509</v>
      </c>
      <c r="F65" s="358" t="s">
        <v>509</v>
      </c>
      <c r="G65" s="357" t="s">
        <v>507</v>
      </c>
      <c r="H65" s="358" t="s">
        <v>509</v>
      </c>
      <c r="I65" s="362" t="s">
        <v>508</v>
      </c>
      <c r="J65" s="358" t="s">
        <v>507</v>
      </c>
      <c r="K65" s="358" t="s">
        <v>507</v>
      </c>
      <c r="L65" s="357" t="s">
        <v>509</v>
      </c>
      <c r="M65" s="375" t="s">
        <v>509</v>
      </c>
      <c r="N65" s="358" t="s">
        <v>507</v>
      </c>
      <c r="O65" s="358" t="s">
        <v>509</v>
      </c>
      <c r="P65" s="357" t="s">
        <v>507</v>
      </c>
      <c r="Q65" s="357" t="s">
        <v>507</v>
      </c>
      <c r="R65" s="357" t="s">
        <v>507</v>
      </c>
      <c r="S65" s="358" t="s">
        <v>509</v>
      </c>
      <c r="T65" s="358" t="s">
        <v>507</v>
      </c>
      <c r="U65" s="357" t="s">
        <v>507</v>
      </c>
      <c r="V65" s="352">
        <f t="shared" si="5"/>
        <v>10</v>
      </c>
    </row>
    <row r="66" spans="1:22" ht="20.25" customHeight="1">
      <c r="A66" s="366">
        <v>18</v>
      </c>
      <c r="B66" s="367" t="s">
        <v>236</v>
      </c>
      <c r="C66" s="358" t="s">
        <v>507</v>
      </c>
      <c r="D66" s="357" t="s">
        <v>509</v>
      </c>
      <c r="E66" s="358" t="s">
        <v>509</v>
      </c>
      <c r="F66" s="358" t="s">
        <v>507</v>
      </c>
      <c r="G66" s="357" t="s">
        <v>509</v>
      </c>
      <c r="H66" s="357" t="s">
        <v>509</v>
      </c>
      <c r="I66" s="357" t="s">
        <v>509</v>
      </c>
      <c r="J66" s="358" t="s">
        <v>507</v>
      </c>
      <c r="K66" s="358" t="s">
        <v>507</v>
      </c>
      <c r="L66" s="358" t="s">
        <v>507</v>
      </c>
      <c r="M66" s="373" t="s">
        <v>509</v>
      </c>
      <c r="N66" s="358" t="s">
        <v>507</v>
      </c>
      <c r="O66" s="358" t="s">
        <v>507</v>
      </c>
      <c r="P66" s="358" t="s">
        <v>507</v>
      </c>
      <c r="Q66" s="358" t="s">
        <v>507</v>
      </c>
      <c r="R66" s="358" t="s">
        <v>509</v>
      </c>
      <c r="S66" s="357" t="s">
        <v>509</v>
      </c>
      <c r="T66" s="358" t="s">
        <v>507</v>
      </c>
      <c r="U66" s="357" t="s">
        <v>509</v>
      </c>
      <c r="V66" s="352">
        <f t="shared" si="5"/>
        <v>10</v>
      </c>
    </row>
    <row r="67" spans="1:22" ht="20.25" customHeight="1">
      <c r="A67" s="366">
        <v>19</v>
      </c>
      <c r="B67" s="367" t="s">
        <v>533</v>
      </c>
      <c r="C67" s="368" t="s">
        <v>507</v>
      </c>
      <c r="D67" s="369" t="s">
        <v>509</v>
      </c>
      <c r="E67" s="369" t="s">
        <v>509</v>
      </c>
      <c r="F67" s="368" t="s">
        <v>509</v>
      </c>
      <c r="G67" s="369" t="s">
        <v>507</v>
      </c>
      <c r="H67" s="370" t="s">
        <v>509</v>
      </c>
      <c r="I67" s="368" t="s">
        <v>509</v>
      </c>
      <c r="J67" s="368" t="s">
        <v>507</v>
      </c>
      <c r="K67" s="370" t="s">
        <v>507</v>
      </c>
      <c r="L67" s="369" t="s">
        <v>509</v>
      </c>
      <c r="M67" s="371" t="s">
        <v>509</v>
      </c>
      <c r="N67" s="368" t="s">
        <v>507</v>
      </c>
      <c r="O67" s="369" t="s">
        <v>507</v>
      </c>
      <c r="P67" s="368" t="s">
        <v>507</v>
      </c>
      <c r="Q67" s="370" t="s">
        <v>507</v>
      </c>
      <c r="R67" s="370" t="s">
        <v>509</v>
      </c>
      <c r="S67" s="370" t="s">
        <v>509</v>
      </c>
      <c r="T67" s="368" t="s">
        <v>507</v>
      </c>
      <c r="U67" s="370" t="s">
        <v>507</v>
      </c>
      <c r="V67" s="352">
        <f t="shared" si="5"/>
        <v>10</v>
      </c>
    </row>
    <row r="68" spans="1:22" ht="20.25" customHeight="1">
      <c r="A68" s="366">
        <v>20</v>
      </c>
      <c r="B68" s="376" t="s">
        <v>534</v>
      </c>
      <c r="C68" s="368" t="s">
        <v>507</v>
      </c>
      <c r="D68" s="353" t="s">
        <v>509</v>
      </c>
      <c r="E68" s="353" t="s">
        <v>509</v>
      </c>
      <c r="F68" s="368" t="s">
        <v>507</v>
      </c>
      <c r="G68" s="353" t="s">
        <v>509</v>
      </c>
      <c r="H68" s="353" t="s">
        <v>509</v>
      </c>
      <c r="I68" s="368" t="s">
        <v>507</v>
      </c>
      <c r="J68" s="368" t="s">
        <v>507</v>
      </c>
      <c r="K68" s="370" t="s">
        <v>507</v>
      </c>
      <c r="L68" s="353" t="s">
        <v>509</v>
      </c>
      <c r="M68" s="353" t="s">
        <v>509</v>
      </c>
      <c r="N68" s="368" t="s">
        <v>507</v>
      </c>
      <c r="O68" s="368" t="s">
        <v>507</v>
      </c>
      <c r="P68" s="368" t="s">
        <v>507</v>
      </c>
      <c r="Q68" s="368" t="s">
        <v>507</v>
      </c>
      <c r="R68" s="353" t="s">
        <v>509</v>
      </c>
      <c r="S68" s="353" t="s">
        <v>509</v>
      </c>
      <c r="T68" s="353" t="s">
        <v>509</v>
      </c>
      <c r="U68" s="370" t="s">
        <v>507</v>
      </c>
      <c r="V68" s="352">
        <f t="shared" si="5"/>
        <v>10</v>
      </c>
    </row>
    <row r="69" spans="1:22" ht="20.25" customHeight="1">
      <c r="A69" s="366">
        <v>21</v>
      </c>
      <c r="B69" s="367" t="s">
        <v>535</v>
      </c>
      <c r="C69" s="368" t="s">
        <v>507</v>
      </c>
      <c r="D69" s="369" t="s">
        <v>509</v>
      </c>
      <c r="E69" s="369" t="s">
        <v>509</v>
      </c>
      <c r="F69" s="368" t="s">
        <v>507</v>
      </c>
      <c r="G69" s="369" t="s">
        <v>509</v>
      </c>
      <c r="H69" s="370" t="s">
        <v>509</v>
      </c>
      <c r="I69" s="368" t="s">
        <v>509</v>
      </c>
      <c r="J69" s="368" t="s">
        <v>507</v>
      </c>
      <c r="K69" s="370" t="s">
        <v>509</v>
      </c>
      <c r="L69" s="369" t="s">
        <v>509</v>
      </c>
      <c r="M69" s="371" t="s">
        <v>509</v>
      </c>
      <c r="N69" s="368" t="s">
        <v>507</v>
      </c>
      <c r="O69" s="369" t="s">
        <v>507</v>
      </c>
      <c r="P69" s="368" t="s">
        <v>507</v>
      </c>
      <c r="Q69" s="370" t="s">
        <v>507</v>
      </c>
      <c r="R69" s="370" t="s">
        <v>507</v>
      </c>
      <c r="S69" s="370" t="s">
        <v>509</v>
      </c>
      <c r="T69" s="368" t="s">
        <v>507</v>
      </c>
      <c r="U69" s="370" t="s">
        <v>509</v>
      </c>
      <c r="V69" s="352">
        <f t="shared" si="5"/>
        <v>9</v>
      </c>
    </row>
    <row r="70" spans="1:22" ht="20.25" customHeight="1">
      <c r="A70" s="366">
        <v>22</v>
      </c>
      <c r="B70" s="367" t="s">
        <v>233</v>
      </c>
      <c r="C70" s="368" t="s">
        <v>507</v>
      </c>
      <c r="D70" s="369" t="s">
        <v>509</v>
      </c>
      <c r="E70" s="369" t="s">
        <v>509</v>
      </c>
      <c r="F70" s="368" t="s">
        <v>507</v>
      </c>
      <c r="G70" s="369" t="s">
        <v>509</v>
      </c>
      <c r="H70" s="370" t="s">
        <v>509</v>
      </c>
      <c r="I70" s="368" t="s">
        <v>507</v>
      </c>
      <c r="J70" s="368" t="s">
        <v>509</v>
      </c>
      <c r="K70" s="370" t="s">
        <v>507</v>
      </c>
      <c r="L70" s="369" t="s">
        <v>509</v>
      </c>
      <c r="M70" s="371" t="s">
        <v>507</v>
      </c>
      <c r="N70" s="368" t="s">
        <v>507</v>
      </c>
      <c r="O70" s="369" t="s">
        <v>509</v>
      </c>
      <c r="P70" s="368" t="s">
        <v>507</v>
      </c>
      <c r="Q70" s="370" t="s">
        <v>507</v>
      </c>
      <c r="R70" s="370" t="s">
        <v>509</v>
      </c>
      <c r="S70" s="370" t="s">
        <v>509</v>
      </c>
      <c r="T70" s="368" t="s">
        <v>509</v>
      </c>
      <c r="U70" s="370" t="s">
        <v>507</v>
      </c>
      <c r="V70" s="352">
        <f t="shared" si="5"/>
        <v>9</v>
      </c>
    </row>
    <row r="71" spans="1:22" ht="20.25" customHeight="1">
      <c r="A71" s="366">
        <v>23</v>
      </c>
      <c r="B71" s="367" t="s">
        <v>536</v>
      </c>
      <c r="C71" s="357" t="s">
        <v>507</v>
      </c>
      <c r="D71" s="358" t="s">
        <v>509</v>
      </c>
      <c r="E71" s="358" t="s">
        <v>509</v>
      </c>
      <c r="F71" s="358" t="s">
        <v>507</v>
      </c>
      <c r="G71" s="358" t="s">
        <v>507</v>
      </c>
      <c r="H71" s="358" t="s">
        <v>509</v>
      </c>
      <c r="I71" s="362" t="s">
        <v>507</v>
      </c>
      <c r="J71" s="358" t="s">
        <v>507</v>
      </c>
      <c r="K71" s="358" t="s">
        <v>507</v>
      </c>
      <c r="L71" s="357" t="s">
        <v>509</v>
      </c>
      <c r="M71" s="377" t="s">
        <v>509</v>
      </c>
      <c r="N71" s="358" t="s">
        <v>507</v>
      </c>
      <c r="O71" s="358" t="s">
        <v>509</v>
      </c>
      <c r="P71" s="358" t="s">
        <v>507</v>
      </c>
      <c r="Q71" s="358" t="s">
        <v>509</v>
      </c>
      <c r="R71" s="358" t="s">
        <v>509</v>
      </c>
      <c r="S71" s="358" t="s">
        <v>509</v>
      </c>
      <c r="T71" s="358" t="s">
        <v>509</v>
      </c>
      <c r="U71" s="358" t="s">
        <v>507</v>
      </c>
      <c r="V71" s="352">
        <f t="shared" si="5"/>
        <v>9</v>
      </c>
    </row>
    <row r="72" spans="1:22" ht="20.25" customHeight="1">
      <c r="A72" s="366">
        <v>24</v>
      </c>
      <c r="B72" s="367" t="s">
        <v>240</v>
      </c>
      <c r="C72" s="368" t="s">
        <v>507</v>
      </c>
      <c r="D72" s="369" t="s">
        <v>509</v>
      </c>
      <c r="E72" s="369" t="s">
        <v>509</v>
      </c>
      <c r="F72" s="368" t="s">
        <v>507</v>
      </c>
      <c r="G72" s="369" t="s">
        <v>509</v>
      </c>
      <c r="H72" s="370" t="s">
        <v>509</v>
      </c>
      <c r="I72" s="368" t="s">
        <v>507</v>
      </c>
      <c r="J72" s="368" t="s">
        <v>507</v>
      </c>
      <c r="K72" s="370" t="s">
        <v>507</v>
      </c>
      <c r="L72" s="369" t="s">
        <v>509</v>
      </c>
      <c r="M72" s="371" t="s">
        <v>509</v>
      </c>
      <c r="N72" s="368" t="s">
        <v>507</v>
      </c>
      <c r="O72" s="369" t="s">
        <v>509</v>
      </c>
      <c r="P72" s="368" t="s">
        <v>507</v>
      </c>
      <c r="Q72" s="370" t="s">
        <v>509</v>
      </c>
      <c r="R72" s="370" t="s">
        <v>509</v>
      </c>
      <c r="S72" s="370" t="s">
        <v>509</v>
      </c>
      <c r="T72" s="368" t="s">
        <v>507</v>
      </c>
      <c r="U72" s="370" t="s">
        <v>507</v>
      </c>
      <c r="V72" s="352">
        <f t="shared" si="5"/>
        <v>9</v>
      </c>
    </row>
    <row r="73" spans="1:22" ht="20.25" customHeight="1">
      <c r="A73" s="366">
        <v>25</v>
      </c>
      <c r="B73" s="367" t="s">
        <v>537</v>
      </c>
      <c r="C73" s="368" t="s">
        <v>507</v>
      </c>
      <c r="D73" s="369" t="s">
        <v>509</v>
      </c>
      <c r="E73" s="369" t="s">
        <v>509</v>
      </c>
      <c r="F73" s="368" t="s">
        <v>507</v>
      </c>
      <c r="G73" s="369" t="s">
        <v>509</v>
      </c>
      <c r="H73" s="370" t="s">
        <v>509</v>
      </c>
      <c r="I73" s="368" t="s">
        <v>507</v>
      </c>
      <c r="J73" s="368" t="s">
        <v>507</v>
      </c>
      <c r="K73" s="370" t="s">
        <v>507</v>
      </c>
      <c r="L73" s="369" t="s">
        <v>509</v>
      </c>
      <c r="M73" s="371" t="s">
        <v>509</v>
      </c>
      <c r="N73" s="368" t="s">
        <v>507</v>
      </c>
      <c r="O73" s="369" t="s">
        <v>509</v>
      </c>
      <c r="P73" s="368" t="s">
        <v>507</v>
      </c>
      <c r="Q73" s="370" t="s">
        <v>509</v>
      </c>
      <c r="R73" s="370" t="s">
        <v>507</v>
      </c>
      <c r="S73" s="370" t="s">
        <v>509</v>
      </c>
      <c r="T73" s="372" t="s">
        <v>509</v>
      </c>
      <c r="U73" s="370" t="s">
        <v>507</v>
      </c>
      <c r="V73" s="352">
        <f t="shared" si="5"/>
        <v>9</v>
      </c>
    </row>
    <row r="74" spans="1:22" s="446" customFormat="1" ht="20.25" customHeight="1">
      <c r="A74" s="583" t="s">
        <v>538</v>
      </c>
      <c r="B74" s="583"/>
      <c r="C74" s="441">
        <f>COUNTIF(C75:C95,"Đạt")</f>
        <v>21</v>
      </c>
      <c r="D74" s="441">
        <f t="shared" ref="D74:U74" si="6">COUNTIF(D75:D95,"Đạt")</f>
        <v>8</v>
      </c>
      <c r="E74" s="441">
        <f t="shared" si="6"/>
        <v>14</v>
      </c>
      <c r="F74" s="441">
        <f t="shared" si="6"/>
        <v>17</v>
      </c>
      <c r="G74" s="441">
        <f t="shared" si="6"/>
        <v>8</v>
      </c>
      <c r="H74" s="441">
        <f t="shared" si="6"/>
        <v>11</v>
      </c>
      <c r="I74" s="441">
        <f t="shared" si="6"/>
        <v>13</v>
      </c>
      <c r="J74" s="441">
        <f t="shared" si="6"/>
        <v>20</v>
      </c>
      <c r="K74" s="441">
        <f t="shared" si="6"/>
        <v>19</v>
      </c>
      <c r="L74" s="441">
        <f t="shared" si="6"/>
        <v>10</v>
      </c>
      <c r="M74" s="441">
        <f t="shared" si="6"/>
        <v>9</v>
      </c>
      <c r="N74" s="441">
        <f t="shared" si="6"/>
        <v>21</v>
      </c>
      <c r="O74" s="441">
        <f t="shared" si="6"/>
        <v>10</v>
      </c>
      <c r="P74" s="441">
        <f t="shared" si="6"/>
        <v>21</v>
      </c>
      <c r="Q74" s="441">
        <f t="shared" si="6"/>
        <v>21</v>
      </c>
      <c r="R74" s="441">
        <f t="shared" si="6"/>
        <v>18</v>
      </c>
      <c r="S74" s="441">
        <f t="shared" si="6"/>
        <v>9</v>
      </c>
      <c r="T74" s="441">
        <f t="shared" si="6"/>
        <v>17</v>
      </c>
      <c r="U74" s="441">
        <f t="shared" si="6"/>
        <v>20</v>
      </c>
      <c r="V74" s="445"/>
    </row>
    <row r="75" spans="1:22" ht="20.25" customHeight="1">
      <c r="A75" s="378">
        <v>1</v>
      </c>
      <c r="B75" s="379" t="s">
        <v>195</v>
      </c>
      <c r="C75" s="380" t="s">
        <v>507</v>
      </c>
      <c r="D75" s="380" t="s">
        <v>507</v>
      </c>
      <c r="E75" s="380" t="s">
        <v>507</v>
      </c>
      <c r="F75" s="380" t="s">
        <v>507</v>
      </c>
      <c r="G75" s="380" t="s">
        <v>507</v>
      </c>
      <c r="H75" s="380" t="s">
        <v>507</v>
      </c>
      <c r="I75" s="380" t="s">
        <v>507</v>
      </c>
      <c r="J75" s="380" t="s">
        <v>507</v>
      </c>
      <c r="K75" s="380" t="s">
        <v>507</v>
      </c>
      <c r="L75" s="380" t="s">
        <v>507</v>
      </c>
      <c r="M75" s="380" t="s">
        <v>507</v>
      </c>
      <c r="N75" s="380" t="s">
        <v>507</v>
      </c>
      <c r="O75" s="380" t="s">
        <v>507</v>
      </c>
      <c r="P75" s="380" t="s">
        <v>507</v>
      </c>
      <c r="Q75" s="380" t="s">
        <v>507</v>
      </c>
      <c r="R75" s="380" t="s">
        <v>507</v>
      </c>
      <c r="S75" s="380" t="s">
        <v>507</v>
      </c>
      <c r="T75" s="380" t="s">
        <v>507</v>
      </c>
      <c r="U75" s="380" t="s">
        <v>507</v>
      </c>
      <c r="V75" s="352">
        <f t="shared" ref="V75:V95" si="7">COUNTIF(C75:U75,"Đạt")</f>
        <v>19</v>
      </c>
    </row>
    <row r="76" spans="1:22" ht="20.25" customHeight="1">
      <c r="A76" s="378">
        <v>2</v>
      </c>
      <c r="B76" s="379" t="s">
        <v>199</v>
      </c>
      <c r="C76" s="380" t="s">
        <v>507</v>
      </c>
      <c r="D76" s="380" t="s">
        <v>507</v>
      </c>
      <c r="E76" s="380" t="s">
        <v>507</v>
      </c>
      <c r="F76" s="380" t="s">
        <v>507</v>
      </c>
      <c r="G76" s="380" t="s">
        <v>507</v>
      </c>
      <c r="H76" s="380" t="s">
        <v>507</v>
      </c>
      <c r="I76" s="380" t="s">
        <v>507</v>
      </c>
      <c r="J76" s="380" t="s">
        <v>507</v>
      </c>
      <c r="K76" s="380" t="s">
        <v>507</v>
      </c>
      <c r="L76" s="380" t="s">
        <v>507</v>
      </c>
      <c r="M76" s="380" t="s">
        <v>507</v>
      </c>
      <c r="N76" s="380" t="s">
        <v>507</v>
      </c>
      <c r="O76" s="380" t="s">
        <v>507</v>
      </c>
      <c r="P76" s="380" t="s">
        <v>507</v>
      </c>
      <c r="Q76" s="380" t="s">
        <v>507</v>
      </c>
      <c r="R76" s="380" t="s">
        <v>507</v>
      </c>
      <c r="S76" s="380" t="s">
        <v>507</v>
      </c>
      <c r="T76" s="380" t="s">
        <v>507</v>
      </c>
      <c r="U76" s="380" t="s">
        <v>507</v>
      </c>
      <c r="V76" s="352">
        <f t="shared" si="7"/>
        <v>19</v>
      </c>
    </row>
    <row r="77" spans="1:22" ht="20.25" customHeight="1">
      <c r="A77" s="378">
        <v>3</v>
      </c>
      <c r="B77" s="379" t="s">
        <v>204</v>
      </c>
      <c r="C77" s="380" t="s">
        <v>507</v>
      </c>
      <c r="D77" s="380" t="s">
        <v>507</v>
      </c>
      <c r="E77" s="380" t="s">
        <v>507</v>
      </c>
      <c r="F77" s="380" t="s">
        <v>507</v>
      </c>
      <c r="G77" s="380" t="s">
        <v>507</v>
      </c>
      <c r="H77" s="380" t="s">
        <v>507</v>
      </c>
      <c r="I77" s="380" t="s">
        <v>507</v>
      </c>
      <c r="J77" s="380" t="s">
        <v>507</v>
      </c>
      <c r="K77" s="380" t="s">
        <v>507</v>
      </c>
      <c r="L77" s="380" t="s">
        <v>507</v>
      </c>
      <c r="M77" s="380" t="s">
        <v>507</v>
      </c>
      <c r="N77" s="380" t="s">
        <v>507</v>
      </c>
      <c r="O77" s="380" t="s">
        <v>507</v>
      </c>
      <c r="P77" s="380" t="s">
        <v>507</v>
      </c>
      <c r="Q77" s="380" t="s">
        <v>507</v>
      </c>
      <c r="R77" s="380" t="s">
        <v>507</v>
      </c>
      <c r="S77" s="380" t="s">
        <v>507</v>
      </c>
      <c r="T77" s="380" t="s">
        <v>507</v>
      </c>
      <c r="U77" s="380" t="s">
        <v>507</v>
      </c>
      <c r="V77" s="352">
        <f t="shared" si="7"/>
        <v>19</v>
      </c>
    </row>
    <row r="78" spans="1:22" ht="20.25" customHeight="1">
      <c r="A78" s="378">
        <v>4</v>
      </c>
      <c r="B78" s="379" t="s">
        <v>206</v>
      </c>
      <c r="C78" s="381" t="s">
        <v>507</v>
      </c>
      <c r="D78" s="381" t="s">
        <v>507</v>
      </c>
      <c r="E78" s="381" t="s">
        <v>507</v>
      </c>
      <c r="F78" s="381" t="s">
        <v>507</v>
      </c>
      <c r="G78" s="381" t="s">
        <v>507</v>
      </c>
      <c r="H78" s="381" t="s">
        <v>507</v>
      </c>
      <c r="I78" s="381" t="s">
        <v>507</v>
      </c>
      <c r="J78" s="381" t="s">
        <v>507</v>
      </c>
      <c r="K78" s="381" t="s">
        <v>507</v>
      </c>
      <c r="L78" s="381" t="s">
        <v>507</v>
      </c>
      <c r="M78" s="381" t="s">
        <v>507</v>
      </c>
      <c r="N78" s="381" t="s">
        <v>507</v>
      </c>
      <c r="O78" s="381" t="s">
        <v>507</v>
      </c>
      <c r="P78" s="381" t="s">
        <v>507</v>
      </c>
      <c r="Q78" s="381" t="s">
        <v>507</v>
      </c>
      <c r="R78" s="381" t="s">
        <v>507</v>
      </c>
      <c r="S78" s="381" t="s">
        <v>507</v>
      </c>
      <c r="T78" s="381" t="s">
        <v>507</v>
      </c>
      <c r="U78" s="381" t="s">
        <v>507</v>
      </c>
      <c r="V78" s="352">
        <f t="shared" si="7"/>
        <v>19</v>
      </c>
    </row>
    <row r="79" spans="1:22" ht="20.25" customHeight="1">
      <c r="A79" s="378">
        <v>5</v>
      </c>
      <c r="B79" s="379" t="s">
        <v>213</v>
      </c>
      <c r="C79" s="381" t="s">
        <v>507</v>
      </c>
      <c r="D79" s="382" t="s">
        <v>507</v>
      </c>
      <c r="E79" s="382" t="s">
        <v>507</v>
      </c>
      <c r="F79" s="381" t="s">
        <v>507</v>
      </c>
      <c r="G79" s="380" t="s">
        <v>507</v>
      </c>
      <c r="H79" s="382" t="s">
        <v>507</v>
      </c>
      <c r="I79" s="382" t="s">
        <v>508</v>
      </c>
      <c r="J79" s="382" t="s">
        <v>507</v>
      </c>
      <c r="K79" s="382" t="s">
        <v>507</v>
      </c>
      <c r="L79" s="381" t="s">
        <v>507</v>
      </c>
      <c r="M79" s="382" t="s">
        <v>507</v>
      </c>
      <c r="N79" s="382" t="s">
        <v>507</v>
      </c>
      <c r="O79" s="380" t="s">
        <v>507</v>
      </c>
      <c r="P79" s="382" t="s">
        <v>507</v>
      </c>
      <c r="Q79" s="382" t="s">
        <v>507</v>
      </c>
      <c r="R79" s="382" t="s">
        <v>507</v>
      </c>
      <c r="S79" s="381" t="s">
        <v>507</v>
      </c>
      <c r="T79" s="382" t="s">
        <v>507</v>
      </c>
      <c r="U79" s="381" t="s">
        <v>507</v>
      </c>
      <c r="V79" s="352">
        <f t="shared" si="7"/>
        <v>18</v>
      </c>
    </row>
    <row r="80" spans="1:22" ht="20.25" customHeight="1">
      <c r="A80" s="378">
        <v>6</v>
      </c>
      <c r="B80" s="379" t="s">
        <v>212</v>
      </c>
      <c r="C80" s="381" t="s">
        <v>507</v>
      </c>
      <c r="D80" s="381" t="s">
        <v>507</v>
      </c>
      <c r="E80" s="381" t="s">
        <v>507</v>
      </c>
      <c r="F80" s="382" t="s">
        <v>507</v>
      </c>
      <c r="G80" s="381" t="s">
        <v>507</v>
      </c>
      <c r="H80" s="380" t="s">
        <v>507</v>
      </c>
      <c r="I80" s="382" t="s">
        <v>508</v>
      </c>
      <c r="J80" s="382" t="s">
        <v>507</v>
      </c>
      <c r="K80" s="382" t="s">
        <v>507</v>
      </c>
      <c r="L80" s="380" t="s">
        <v>507</v>
      </c>
      <c r="M80" s="383" t="s">
        <v>507</v>
      </c>
      <c r="N80" s="382" t="s">
        <v>507</v>
      </c>
      <c r="O80" s="380" t="s">
        <v>507</v>
      </c>
      <c r="P80" s="382" t="s">
        <v>507</v>
      </c>
      <c r="Q80" s="381" t="s">
        <v>507</v>
      </c>
      <c r="R80" s="382" t="s">
        <v>507</v>
      </c>
      <c r="S80" s="381" t="s">
        <v>507</v>
      </c>
      <c r="T80" s="381" t="s">
        <v>507</v>
      </c>
      <c r="U80" s="381" t="s">
        <v>507</v>
      </c>
      <c r="V80" s="352">
        <f t="shared" si="7"/>
        <v>18</v>
      </c>
    </row>
    <row r="81" spans="1:22" ht="20.25" customHeight="1">
      <c r="A81" s="378">
        <v>7</v>
      </c>
      <c r="B81" s="379" t="s">
        <v>205</v>
      </c>
      <c r="C81" s="381" t="s">
        <v>507</v>
      </c>
      <c r="D81" s="381" t="s">
        <v>507</v>
      </c>
      <c r="E81" s="381" t="s">
        <v>507</v>
      </c>
      <c r="F81" s="381" t="s">
        <v>507</v>
      </c>
      <c r="G81" s="381" t="s">
        <v>507</v>
      </c>
      <c r="H81" s="381" t="s">
        <v>507</v>
      </c>
      <c r="I81" s="381" t="s">
        <v>508</v>
      </c>
      <c r="J81" s="381" t="s">
        <v>507</v>
      </c>
      <c r="K81" s="381" t="s">
        <v>507</v>
      </c>
      <c r="L81" s="381" t="s">
        <v>507</v>
      </c>
      <c r="M81" s="381" t="s">
        <v>507</v>
      </c>
      <c r="N81" s="381" t="s">
        <v>507</v>
      </c>
      <c r="O81" s="381" t="s">
        <v>507</v>
      </c>
      <c r="P81" s="381" t="s">
        <v>507</v>
      </c>
      <c r="Q81" s="381" t="s">
        <v>507</v>
      </c>
      <c r="R81" s="381" t="s">
        <v>507</v>
      </c>
      <c r="S81" s="381" t="s">
        <v>507</v>
      </c>
      <c r="T81" s="381" t="s">
        <v>507</v>
      </c>
      <c r="U81" s="381" t="s">
        <v>507</v>
      </c>
      <c r="V81" s="352">
        <f t="shared" si="7"/>
        <v>18</v>
      </c>
    </row>
    <row r="82" spans="1:22" ht="20.25" customHeight="1">
      <c r="A82" s="378">
        <v>8</v>
      </c>
      <c r="B82" s="379" t="s">
        <v>207</v>
      </c>
      <c r="C82" s="384" t="s">
        <v>507</v>
      </c>
      <c r="D82" s="384" t="s">
        <v>509</v>
      </c>
      <c r="E82" s="381" t="s">
        <v>507</v>
      </c>
      <c r="F82" s="384" t="s">
        <v>507</v>
      </c>
      <c r="G82" s="384" t="s">
        <v>509</v>
      </c>
      <c r="H82" s="384" t="s">
        <v>507</v>
      </c>
      <c r="I82" s="384" t="s">
        <v>509</v>
      </c>
      <c r="J82" s="384" t="s">
        <v>507</v>
      </c>
      <c r="K82" s="381" t="s">
        <v>507</v>
      </c>
      <c r="L82" s="384" t="s">
        <v>509</v>
      </c>
      <c r="M82" s="384" t="s">
        <v>509</v>
      </c>
      <c r="N82" s="381" t="s">
        <v>507</v>
      </c>
      <c r="O82" s="384" t="s">
        <v>507</v>
      </c>
      <c r="P82" s="381" t="s">
        <v>507</v>
      </c>
      <c r="Q82" s="381" t="s">
        <v>507</v>
      </c>
      <c r="R82" s="381" t="s">
        <v>507</v>
      </c>
      <c r="S82" s="384" t="s">
        <v>509</v>
      </c>
      <c r="T82" s="381" t="s">
        <v>507</v>
      </c>
      <c r="U82" s="381" t="s">
        <v>507</v>
      </c>
      <c r="V82" s="352">
        <f t="shared" si="7"/>
        <v>13</v>
      </c>
    </row>
    <row r="83" spans="1:22" ht="20.25" customHeight="1">
      <c r="A83" s="378">
        <v>9</v>
      </c>
      <c r="B83" s="385" t="s">
        <v>539</v>
      </c>
      <c r="C83" s="381" t="s">
        <v>507</v>
      </c>
      <c r="D83" s="381" t="s">
        <v>509</v>
      </c>
      <c r="E83" s="381" t="s">
        <v>507</v>
      </c>
      <c r="F83" s="381" t="s">
        <v>507</v>
      </c>
      <c r="G83" s="381" t="s">
        <v>509</v>
      </c>
      <c r="H83" s="381" t="s">
        <v>509</v>
      </c>
      <c r="I83" s="381" t="s">
        <v>509</v>
      </c>
      <c r="J83" s="381" t="s">
        <v>507</v>
      </c>
      <c r="K83" s="381" t="s">
        <v>507</v>
      </c>
      <c r="L83" s="381" t="s">
        <v>507</v>
      </c>
      <c r="M83" s="381" t="s">
        <v>509</v>
      </c>
      <c r="N83" s="381" t="s">
        <v>507</v>
      </c>
      <c r="O83" s="381" t="s">
        <v>509</v>
      </c>
      <c r="P83" s="381" t="s">
        <v>507</v>
      </c>
      <c r="Q83" s="381" t="s">
        <v>507</v>
      </c>
      <c r="R83" s="381" t="s">
        <v>507</v>
      </c>
      <c r="S83" s="381" t="s">
        <v>509</v>
      </c>
      <c r="T83" s="381" t="s">
        <v>507</v>
      </c>
      <c r="U83" s="381" t="s">
        <v>507</v>
      </c>
      <c r="V83" s="352">
        <f t="shared" si="7"/>
        <v>12</v>
      </c>
    </row>
    <row r="84" spans="1:22" ht="20.25" customHeight="1">
      <c r="A84" s="378">
        <v>10</v>
      </c>
      <c r="B84" s="379" t="s">
        <v>200</v>
      </c>
      <c r="C84" s="381" t="s">
        <v>507</v>
      </c>
      <c r="D84" s="381" t="s">
        <v>509</v>
      </c>
      <c r="E84" s="382" t="s">
        <v>509</v>
      </c>
      <c r="F84" s="381" t="s">
        <v>507</v>
      </c>
      <c r="G84" s="381" t="s">
        <v>509</v>
      </c>
      <c r="H84" s="381" t="s">
        <v>507</v>
      </c>
      <c r="I84" s="381" t="s">
        <v>507</v>
      </c>
      <c r="J84" s="382" t="s">
        <v>507</v>
      </c>
      <c r="K84" s="382" t="s">
        <v>507</v>
      </c>
      <c r="L84" s="381" t="s">
        <v>509</v>
      </c>
      <c r="M84" s="382" t="s">
        <v>509</v>
      </c>
      <c r="N84" s="382" t="s">
        <v>507</v>
      </c>
      <c r="O84" s="381" t="s">
        <v>509</v>
      </c>
      <c r="P84" s="382" t="s">
        <v>507</v>
      </c>
      <c r="Q84" s="382" t="s">
        <v>507</v>
      </c>
      <c r="R84" s="382" t="s">
        <v>507</v>
      </c>
      <c r="S84" s="381" t="s">
        <v>509</v>
      </c>
      <c r="T84" s="382" t="s">
        <v>507</v>
      </c>
      <c r="U84" s="382" t="s">
        <v>507</v>
      </c>
      <c r="V84" s="352">
        <f t="shared" si="7"/>
        <v>12</v>
      </c>
    </row>
    <row r="85" spans="1:22" ht="20.25" customHeight="1">
      <c r="A85" s="378">
        <v>11</v>
      </c>
      <c r="B85" s="386" t="s">
        <v>198</v>
      </c>
      <c r="C85" s="381" t="s">
        <v>507</v>
      </c>
      <c r="D85" s="381" t="s">
        <v>509</v>
      </c>
      <c r="E85" s="381" t="s">
        <v>507</v>
      </c>
      <c r="F85" s="381" t="s">
        <v>507</v>
      </c>
      <c r="G85" s="381" t="s">
        <v>509</v>
      </c>
      <c r="H85" s="381" t="s">
        <v>507</v>
      </c>
      <c r="I85" s="381" t="s">
        <v>509</v>
      </c>
      <c r="J85" s="381" t="s">
        <v>507</v>
      </c>
      <c r="K85" s="381" t="s">
        <v>507</v>
      </c>
      <c r="L85" s="381" t="s">
        <v>509</v>
      </c>
      <c r="M85" s="381" t="s">
        <v>509</v>
      </c>
      <c r="N85" s="381" t="s">
        <v>507</v>
      </c>
      <c r="O85" s="381" t="s">
        <v>507</v>
      </c>
      <c r="P85" s="382" t="s">
        <v>507</v>
      </c>
      <c r="Q85" s="382" t="s">
        <v>507</v>
      </c>
      <c r="R85" s="381" t="s">
        <v>507</v>
      </c>
      <c r="S85" s="381" t="s">
        <v>509</v>
      </c>
      <c r="T85" s="381" t="s">
        <v>509</v>
      </c>
      <c r="U85" s="381" t="s">
        <v>507</v>
      </c>
      <c r="V85" s="352">
        <f t="shared" si="7"/>
        <v>12</v>
      </c>
    </row>
    <row r="86" spans="1:22" ht="20.25" customHeight="1">
      <c r="A86" s="378">
        <v>12</v>
      </c>
      <c r="B86" s="387" t="s">
        <v>540</v>
      </c>
      <c r="C86" s="381" t="s">
        <v>507</v>
      </c>
      <c r="D86" s="381" t="s">
        <v>509</v>
      </c>
      <c r="E86" s="381" t="s">
        <v>509</v>
      </c>
      <c r="F86" s="381" t="s">
        <v>507</v>
      </c>
      <c r="G86" s="381" t="s">
        <v>509</v>
      </c>
      <c r="H86" s="381" t="s">
        <v>509</v>
      </c>
      <c r="I86" s="381" t="s">
        <v>508</v>
      </c>
      <c r="J86" s="381" t="s">
        <v>507</v>
      </c>
      <c r="K86" s="381" t="s">
        <v>507</v>
      </c>
      <c r="L86" s="381" t="s">
        <v>509</v>
      </c>
      <c r="M86" s="381" t="s">
        <v>507</v>
      </c>
      <c r="N86" s="381" t="s">
        <v>507</v>
      </c>
      <c r="O86" s="381" t="s">
        <v>507</v>
      </c>
      <c r="P86" s="381" t="s">
        <v>507</v>
      </c>
      <c r="Q86" s="381" t="s">
        <v>507</v>
      </c>
      <c r="R86" s="381" t="s">
        <v>507</v>
      </c>
      <c r="S86" s="381" t="s">
        <v>509</v>
      </c>
      <c r="T86" s="381" t="s">
        <v>509</v>
      </c>
      <c r="U86" s="381" t="s">
        <v>507</v>
      </c>
      <c r="V86" s="352">
        <f t="shared" si="7"/>
        <v>11</v>
      </c>
    </row>
    <row r="87" spans="1:22" ht="20.25" customHeight="1">
      <c r="A87" s="378">
        <v>13</v>
      </c>
      <c r="B87" s="387" t="s">
        <v>541</v>
      </c>
      <c r="C87" s="381" t="s">
        <v>507</v>
      </c>
      <c r="D87" s="381" t="s">
        <v>509</v>
      </c>
      <c r="E87" s="381" t="s">
        <v>509</v>
      </c>
      <c r="F87" s="381" t="s">
        <v>507</v>
      </c>
      <c r="G87" s="381" t="s">
        <v>509</v>
      </c>
      <c r="H87" s="381" t="s">
        <v>509</v>
      </c>
      <c r="I87" s="381" t="s">
        <v>507</v>
      </c>
      <c r="J87" s="381" t="s">
        <v>507</v>
      </c>
      <c r="K87" s="381" t="s">
        <v>507</v>
      </c>
      <c r="L87" s="381" t="s">
        <v>509</v>
      </c>
      <c r="M87" s="381" t="s">
        <v>509</v>
      </c>
      <c r="N87" s="381" t="s">
        <v>507</v>
      </c>
      <c r="O87" s="381" t="s">
        <v>509</v>
      </c>
      <c r="P87" s="381" t="s">
        <v>507</v>
      </c>
      <c r="Q87" s="381" t="s">
        <v>507</v>
      </c>
      <c r="R87" s="381" t="s">
        <v>507</v>
      </c>
      <c r="S87" s="381" t="s">
        <v>509</v>
      </c>
      <c r="T87" s="381" t="s">
        <v>507</v>
      </c>
      <c r="U87" s="381" t="s">
        <v>507</v>
      </c>
      <c r="V87" s="352">
        <f t="shared" si="7"/>
        <v>11</v>
      </c>
    </row>
    <row r="88" spans="1:22" ht="20.25" customHeight="1">
      <c r="A88" s="378">
        <v>14</v>
      </c>
      <c r="B88" s="386" t="s">
        <v>210</v>
      </c>
      <c r="C88" s="382" t="s">
        <v>507</v>
      </c>
      <c r="D88" s="388" t="s">
        <v>509</v>
      </c>
      <c r="E88" s="382" t="s">
        <v>507</v>
      </c>
      <c r="F88" s="381" t="s">
        <v>507</v>
      </c>
      <c r="G88" s="381" t="s">
        <v>509</v>
      </c>
      <c r="H88" s="381" t="s">
        <v>509</v>
      </c>
      <c r="I88" s="382" t="s">
        <v>507</v>
      </c>
      <c r="J88" s="381" t="s">
        <v>509</v>
      </c>
      <c r="K88" s="381" t="s">
        <v>507</v>
      </c>
      <c r="L88" s="381" t="s">
        <v>509</v>
      </c>
      <c r="M88" s="389" t="s">
        <v>509</v>
      </c>
      <c r="N88" s="382" t="s">
        <v>507</v>
      </c>
      <c r="O88" s="381" t="s">
        <v>509</v>
      </c>
      <c r="P88" s="382" t="s">
        <v>507</v>
      </c>
      <c r="Q88" s="382" t="s">
        <v>507</v>
      </c>
      <c r="R88" s="381" t="s">
        <v>509</v>
      </c>
      <c r="S88" s="381" t="s">
        <v>507</v>
      </c>
      <c r="T88" s="381" t="s">
        <v>507</v>
      </c>
      <c r="U88" s="382" t="s">
        <v>507</v>
      </c>
      <c r="V88" s="352">
        <f t="shared" si="7"/>
        <v>11</v>
      </c>
    </row>
    <row r="89" spans="1:22" ht="20.25" customHeight="1">
      <c r="A89" s="378">
        <v>15</v>
      </c>
      <c r="B89" s="379" t="s">
        <v>203</v>
      </c>
      <c r="C89" s="381" t="s">
        <v>507</v>
      </c>
      <c r="D89" s="381" t="s">
        <v>509</v>
      </c>
      <c r="E89" s="381" t="s">
        <v>509</v>
      </c>
      <c r="F89" s="382" t="s">
        <v>507</v>
      </c>
      <c r="G89" s="381" t="s">
        <v>509</v>
      </c>
      <c r="H89" s="381" t="s">
        <v>509</v>
      </c>
      <c r="I89" s="382" t="s">
        <v>507</v>
      </c>
      <c r="J89" s="382" t="s">
        <v>507</v>
      </c>
      <c r="K89" s="382" t="s">
        <v>507</v>
      </c>
      <c r="L89" s="390" t="s">
        <v>509</v>
      </c>
      <c r="M89" s="382" t="s">
        <v>507</v>
      </c>
      <c r="N89" s="382" t="s">
        <v>507</v>
      </c>
      <c r="O89" s="381" t="s">
        <v>509</v>
      </c>
      <c r="P89" s="382" t="s">
        <v>507</v>
      </c>
      <c r="Q89" s="381" t="s">
        <v>507</v>
      </c>
      <c r="R89" s="382" t="s">
        <v>507</v>
      </c>
      <c r="S89" s="381" t="s">
        <v>509</v>
      </c>
      <c r="T89" s="381" t="s">
        <v>509</v>
      </c>
      <c r="U89" s="381" t="s">
        <v>507</v>
      </c>
      <c r="V89" s="352">
        <f t="shared" si="7"/>
        <v>11</v>
      </c>
    </row>
    <row r="90" spans="1:22" ht="20.25" customHeight="1">
      <c r="A90" s="378">
        <v>16</v>
      </c>
      <c r="B90" s="387" t="s">
        <v>542</v>
      </c>
      <c r="C90" s="381" t="s">
        <v>507</v>
      </c>
      <c r="D90" s="381" t="s">
        <v>509</v>
      </c>
      <c r="E90" s="381" t="s">
        <v>509</v>
      </c>
      <c r="F90" s="381" t="s">
        <v>509</v>
      </c>
      <c r="G90" s="381" t="s">
        <v>509</v>
      </c>
      <c r="H90" s="381" t="s">
        <v>509</v>
      </c>
      <c r="I90" s="381" t="s">
        <v>507</v>
      </c>
      <c r="J90" s="381" t="s">
        <v>507</v>
      </c>
      <c r="K90" s="381" t="s">
        <v>507</v>
      </c>
      <c r="L90" s="381" t="s">
        <v>507</v>
      </c>
      <c r="M90" s="381" t="s">
        <v>509</v>
      </c>
      <c r="N90" s="381" t="s">
        <v>507</v>
      </c>
      <c r="O90" s="381" t="s">
        <v>509</v>
      </c>
      <c r="P90" s="381" t="s">
        <v>507</v>
      </c>
      <c r="Q90" s="381" t="s">
        <v>507</v>
      </c>
      <c r="R90" s="381" t="s">
        <v>507</v>
      </c>
      <c r="S90" s="381" t="s">
        <v>509</v>
      </c>
      <c r="T90" s="381" t="s">
        <v>507</v>
      </c>
      <c r="U90" s="381" t="s">
        <v>507</v>
      </c>
      <c r="V90" s="352">
        <f t="shared" si="7"/>
        <v>11</v>
      </c>
    </row>
    <row r="91" spans="1:22" ht="20.25" customHeight="1">
      <c r="A91" s="378">
        <v>17</v>
      </c>
      <c r="B91" s="379" t="s">
        <v>208</v>
      </c>
      <c r="C91" s="381" t="s">
        <v>507</v>
      </c>
      <c r="D91" s="384" t="s">
        <v>507</v>
      </c>
      <c r="E91" s="384" t="s">
        <v>507</v>
      </c>
      <c r="F91" s="384" t="s">
        <v>509</v>
      </c>
      <c r="G91" s="384" t="s">
        <v>509</v>
      </c>
      <c r="H91" s="384" t="s">
        <v>509</v>
      </c>
      <c r="I91" s="381" t="s">
        <v>507</v>
      </c>
      <c r="J91" s="391" t="s">
        <v>507</v>
      </c>
      <c r="K91" s="384" t="s">
        <v>509</v>
      </c>
      <c r="L91" s="384" t="s">
        <v>509</v>
      </c>
      <c r="M91" s="384" t="s">
        <v>509</v>
      </c>
      <c r="N91" s="384" t="s">
        <v>507</v>
      </c>
      <c r="O91" s="384" t="s">
        <v>509</v>
      </c>
      <c r="P91" s="391" t="s">
        <v>507</v>
      </c>
      <c r="Q91" s="391" t="s">
        <v>507</v>
      </c>
      <c r="R91" s="384" t="s">
        <v>507</v>
      </c>
      <c r="S91" s="384" t="s">
        <v>509</v>
      </c>
      <c r="T91" s="384" t="s">
        <v>507</v>
      </c>
      <c r="U91" s="391" t="s">
        <v>507</v>
      </c>
      <c r="V91" s="352">
        <f t="shared" si="7"/>
        <v>11</v>
      </c>
    </row>
    <row r="92" spans="1:22" ht="20.25" customHeight="1">
      <c r="A92" s="378">
        <v>18</v>
      </c>
      <c r="B92" s="379" t="s">
        <v>201</v>
      </c>
      <c r="C92" s="382" t="s">
        <v>507</v>
      </c>
      <c r="D92" s="381" t="s">
        <v>509</v>
      </c>
      <c r="E92" s="381" t="s">
        <v>509</v>
      </c>
      <c r="F92" s="381" t="s">
        <v>507</v>
      </c>
      <c r="G92" s="384" t="s">
        <v>509</v>
      </c>
      <c r="H92" s="381" t="s">
        <v>509</v>
      </c>
      <c r="I92" s="381" t="s">
        <v>507</v>
      </c>
      <c r="J92" s="381" t="s">
        <v>507</v>
      </c>
      <c r="K92" s="382" t="s">
        <v>507</v>
      </c>
      <c r="L92" s="381" t="s">
        <v>507</v>
      </c>
      <c r="M92" s="381" t="s">
        <v>509</v>
      </c>
      <c r="N92" s="382" t="s">
        <v>507</v>
      </c>
      <c r="O92" s="384" t="s">
        <v>509</v>
      </c>
      <c r="P92" s="382" t="s">
        <v>507</v>
      </c>
      <c r="Q92" s="382" t="s">
        <v>507</v>
      </c>
      <c r="R92" s="381" t="s">
        <v>507</v>
      </c>
      <c r="S92" s="381" t="s">
        <v>509</v>
      </c>
      <c r="T92" s="381" t="s">
        <v>507</v>
      </c>
      <c r="U92" s="381" t="s">
        <v>509</v>
      </c>
      <c r="V92" s="352">
        <f t="shared" si="7"/>
        <v>11</v>
      </c>
    </row>
    <row r="93" spans="1:22" ht="20.25" customHeight="1">
      <c r="A93" s="378">
        <v>19</v>
      </c>
      <c r="B93" s="379" t="s">
        <v>209</v>
      </c>
      <c r="C93" s="384" t="s">
        <v>507</v>
      </c>
      <c r="D93" s="384" t="s">
        <v>509</v>
      </c>
      <c r="E93" s="384" t="s">
        <v>507</v>
      </c>
      <c r="F93" s="384" t="s">
        <v>507</v>
      </c>
      <c r="G93" s="384" t="s">
        <v>509</v>
      </c>
      <c r="H93" s="384" t="s">
        <v>509</v>
      </c>
      <c r="I93" s="384" t="s">
        <v>507</v>
      </c>
      <c r="J93" s="391" t="s">
        <v>507</v>
      </c>
      <c r="K93" s="384" t="s">
        <v>509</v>
      </c>
      <c r="L93" s="384" t="s">
        <v>509</v>
      </c>
      <c r="M93" s="384" t="s">
        <v>509</v>
      </c>
      <c r="N93" s="391" t="s">
        <v>507</v>
      </c>
      <c r="O93" s="384" t="s">
        <v>509</v>
      </c>
      <c r="P93" s="391" t="s">
        <v>507</v>
      </c>
      <c r="Q93" s="391" t="s">
        <v>507</v>
      </c>
      <c r="R93" s="384" t="s">
        <v>507</v>
      </c>
      <c r="S93" s="381" t="s">
        <v>509</v>
      </c>
      <c r="T93" s="384" t="s">
        <v>507</v>
      </c>
      <c r="U93" s="391" t="s">
        <v>507</v>
      </c>
      <c r="V93" s="352">
        <f t="shared" si="7"/>
        <v>11</v>
      </c>
    </row>
    <row r="94" spans="1:22" ht="20.25" customHeight="1">
      <c r="A94" s="378">
        <v>20</v>
      </c>
      <c r="B94" s="387" t="s">
        <v>543</v>
      </c>
      <c r="C94" s="381" t="s">
        <v>507</v>
      </c>
      <c r="D94" s="381" t="s">
        <v>509</v>
      </c>
      <c r="E94" s="381" t="s">
        <v>507</v>
      </c>
      <c r="F94" s="381" t="s">
        <v>509</v>
      </c>
      <c r="G94" s="381" t="s">
        <v>507</v>
      </c>
      <c r="H94" s="381" t="s">
        <v>509</v>
      </c>
      <c r="I94" s="381" t="s">
        <v>509</v>
      </c>
      <c r="J94" s="381" t="s">
        <v>507</v>
      </c>
      <c r="K94" s="381" t="s">
        <v>507</v>
      </c>
      <c r="L94" s="381" t="s">
        <v>509</v>
      </c>
      <c r="M94" s="381" t="s">
        <v>509</v>
      </c>
      <c r="N94" s="381" t="s">
        <v>507</v>
      </c>
      <c r="O94" s="381" t="s">
        <v>509</v>
      </c>
      <c r="P94" s="381" t="s">
        <v>507</v>
      </c>
      <c r="Q94" s="381" t="s">
        <v>507</v>
      </c>
      <c r="R94" s="381" t="s">
        <v>509</v>
      </c>
      <c r="S94" s="381" t="s">
        <v>509</v>
      </c>
      <c r="T94" s="381" t="s">
        <v>507</v>
      </c>
      <c r="U94" s="381" t="s">
        <v>507</v>
      </c>
      <c r="V94" s="352">
        <f t="shared" si="7"/>
        <v>10</v>
      </c>
    </row>
    <row r="95" spans="1:22" ht="20.25" customHeight="1">
      <c r="A95" s="378">
        <v>21</v>
      </c>
      <c r="B95" s="379" t="s">
        <v>27</v>
      </c>
      <c r="C95" s="381" t="s">
        <v>507</v>
      </c>
      <c r="D95" s="381" t="s">
        <v>509</v>
      </c>
      <c r="E95" s="381" t="s">
        <v>509</v>
      </c>
      <c r="F95" s="381" t="s">
        <v>509</v>
      </c>
      <c r="G95" s="381" t="s">
        <v>509</v>
      </c>
      <c r="H95" s="381" t="s">
        <v>507</v>
      </c>
      <c r="I95" s="381" t="s">
        <v>507</v>
      </c>
      <c r="J95" s="381" t="s">
        <v>507</v>
      </c>
      <c r="K95" s="381" t="s">
        <v>507</v>
      </c>
      <c r="L95" s="381" t="s">
        <v>509</v>
      </c>
      <c r="M95" s="381" t="s">
        <v>509</v>
      </c>
      <c r="N95" s="381" t="s">
        <v>507</v>
      </c>
      <c r="O95" s="381" t="s">
        <v>509</v>
      </c>
      <c r="P95" s="381" t="s">
        <v>507</v>
      </c>
      <c r="Q95" s="381" t="s">
        <v>507</v>
      </c>
      <c r="R95" s="381" t="s">
        <v>509</v>
      </c>
      <c r="S95" s="381" t="s">
        <v>507</v>
      </c>
      <c r="T95" s="381" t="s">
        <v>509</v>
      </c>
      <c r="U95" s="381" t="s">
        <v>507</v>
      </c>
      <c r="V95" s="352">
        <f t="shared" si="7"/>
        <v>10</v>
      </c>
    </row>
    <row r="96" spans="1:22" s="446" customFormat="1" ht="20.25" customHeight="1">
      <c r="A96" s="583" t="s">
        <v>544</v>
      </c>
      <c r="B96" s="583"/>
      <c r="C96" s="441">
        <f>COUNTIF(C97:C101,"Đạt")</f>
        <v>5</v>
      </c>
      <c r="D96" s="441">
        <f t="shared" ref="D96:U96" si="8">COUNTIF(D97:D101,"Đạt")</f>
        <v>2</v>
      </c>
      <c r="E96" s="441">
        <f t="shared" si="8"/>
        <v>5</v>
      </c>
      <c r="F96" s="441">
        <f t="shared" si="8"/>
        <v>5</v>
      </c>
      <c r="G96" s="441">
        <f t="shared" si="8"/>
        <v>2</v>
      </c>
      <c r="H96" s="441">
        <f t="shared" si="8"/>
        <v>1</v>
      </c>
      <c r="I96" s="441">
        <f t="shared" si="8"/>
        <v>4</v>
      </c>
      <c r="J96" s="441">
        <f t="shared" si="8"/>
        <v>5</v>
      </c>
      <c r="K96" s="441">
        <f t="shared" si="8"/>
        <v>4</v>
      </c>
      <c r="L96" s="441">
        <f t="shared" si="8"/>
        <v>1</v>
      </c>
      <c r="M96" s="441">
        <f t="shared" si="8"/>
        <v>2</v>
      </c>
      <c r="N96" s="441">
        <f t="shared" si="8"/>
        <v>5</v>
      </c>
      <c r="O96" s="441">
        <f t="shared" si="8"/>
        <v>3</v>
      </c>
      <c r="P96" s="441">
        <f t="shared" si="8"/>
        <v>5</v>
      </c>
      <c r="Q96" s="441">
        <f t="shared" si="8"/>
        <v>5</v>
      </c>
      <c r="R96" s="441">
        <f t="shared" si="8"/>
        <v>1</v>
      </c>
      <c r="S96" s="441">
        <f t="shared" si="8"/>
        <v>1</v>
      </c>
      <c r="T96" s="441">
        <f t="shared" si="8"/>
        <v>4</v>
      </c>
      <c r="U96" s="441">
        <f t="shared" si="8"/>
        <v>4</v>
      </c>
      <c r="V96" s="442"/>
    </row>
    <row r="97" spans="1:22" ht="20.25" customHeight="1">
      <c r="A97" s="362">
        <v>1</v>
      </c>
      <c r="B97" s="367" t="s">
        <v>545</v>
      </c>
      <c r="C97" s="358" t="s">
        <v>507</v>
      </c>
      <c r="D97" s="358" t="s">
        <v>507</v>
      </c>
      <c r="E97" s="358" t="s">
        <v>507</v>
      </c>
      <c r="F97" s="358" t="s">
        <v>507</v>
      </c>
      <c r="G97" s="358" t="s">
        <v>507</v>
      </c>
      <c r="H97" s="358" t="s">
        <v>507</v>
      </c>
      <c r="I97" s="358" t="s">
        <v>507</v>
      </c>
      <c r="J97" s="358" t="s">
        <v>507</v>
      </c>
      <c r="K97" s="358" t="s">
        <v>507</v>
      </c>
      <c r="L97" s="358" t="s">
        <v>507</v>
      </c>
      <c r="M97" s="358" t="s">
        <v>507</v>
      </c>
      <c r="N97" s="358" t="s">
        <v>507</v>
      </c>
      <c r="O97" s="358" t="s">
        <v>507</v>
      </c>
      <c r="P97" s="358" t="s">
        <v>507</v>
      </c>
      <c r="Q97" s="358" t="s">
        <v>507</v>
      </c>
      <c r="R97" s="358" t="s">
        <v>507</v>
      </c>
      <c r="S97" s="358" t="s">
        <v>507</v>
      </c>
      <c r="T97" s="358" t="s">
        <v>507</v>
      </c>
      <c r="U97" s="358" t="s">
        <v>507</v>
      </c>
      <c r="V97" s="352">
        <f>COUNTIF(C97:U97,"Đạt")</f>
        <v>19</v>
      </c>
    </row>
    <row r="98" spans="1:22" ht="20.25" customHeight="1">
      <c r="A98" s="362">
        <v>2</v>
      </c>
      <c r="B98" s="367" t="s">
        <v>546</v>
      </c>
      <c r="C98" s="358" t="s">
        <v>507</v>
      </c>
      <c r="D98" s="358" t="s">
        <v>509</v>
      </c>
      <c r="E98" s="357" t="s">
        <v>507</v>
      </c>
      <c r="F98" s="357" t="s">
        <v>507</v>
      </c>
      <c r="G98" s="358" t="s">
        <v>509</v>
      </c>
      <c r="H98" s="358" t="s">
        <v>509</v>
      </c>
      <c r="I98" s="357" t="s">
        <v>507</v>
      </c>
      <c r="J98" s="357" t="s">
        <v>507</v>
      </c>
      <c r="K98" s="357" t="s">
        <v>507</v>
      </c>
      <c r="L98" s="357" t="s">
        <v>509</v>
      </c>
      <c r="M98" s="358" t="s">
        <v>507</v>
      </c>
      <c r="N98" s="357" t="s">
        <v>507</v>
      </c>
      <c r="O98" s="357" t="s">
        <v>507</v>
      </c>
      <c r="P98" s="357" t="s">
        <v>507</v>
      </c>
      <c r="Q98" s="357" t="s">
        <v>507</v>
      </c>
      <c r="R98" s="358" t="s">
        <v>509</v>
      </c>
      <c r="S98" s="358" t="s">
        <v>509</v>
      </c>
      <c r="T98" s="357" t="s">
        <v>507</v>
      </c>
      <c r="U98" s="357" t="s">
        <v>507</v>
      </c>
      <c r="V98" s="352">
        <f>COUNTIF(C98:U98,"Đạt")</f>
        <v>13</v>
      </c>
    </row>
    <row r="99" spans="1:22" ht="20.25" customHeight="1">
      <c r="A99" s="362">
        <v>3</v>
      </c>
      <c r="B99" s="367" t="s">
        <v>547</v>
      </c>
      <c r="C99" s="357" t="s">
        <v>507</v>
      </c>
      <c r="D99" s="358" t="s">
        <v>509</v>
      </c>
      <c r="E99" s="357" t="s">
        <v>507</v>
      </c>
      <c r="F99" s="357" t="s">
        <v>507</v>
      </c>
      <c r="G99" s="358" t="s">
        <v>509</v>
      </c>
      <c r="H99" s="358" t="s">
        <v>509</v>
      </c>
      <c r="I99" s="357" t="s">
        <v>507</v>
      </c>
      <c r="J99" s="357" t="s">
        <v>507</v>
      </c>
      <c r="K99" s="357" t="s">
        <v>507</v>
      </c>
      <c r="L99" s="358" t="s">
        <v>509</v>
      </c>
      <c r="M99" s="358" t="s">
        <v>509</v>
      </c>
      <c r="N99" s="357" t="s">
        <v>507</v>
      </c>
      <c r="O99" s="357" t="s">
        <v>509</v>
      </c>
      <c r="P99" s="357" t="s">
        <v>507</v>
      </c>
      <c r="Q99" s="357" t="s">
        <v>507</v>
      </c>
      <c r="R99" s="358" t="s">
        <v>509</v>
      </c>
      <c r="S99" s="358" t="s">
        <v>509</v>
      </c>
      <c r="T99" s="358" t="s">
        <v>507</v>
      </c>
      <c r="U99" s="357" t="s">
        <v>509</v>
      </c>
      <c r="V99" s="352">
        <f>COUNTIF(C99:U99,"Đạt")</f>
        <v>10</v>
      </c>
    </row>
    <row r="100" spans="1:22" ht="20.25" customHeight="1">
      <c r="A100" s="362">
        <v>4</v>
      </c>
      <c r="B100" s="367" t="s">
        <v>548</v>
      </c>
      <c r="C100" s="357" t="s">
        <v>507</v>
      </c>
      <c r="D100" s="358" t="s">
        <v>509</v>
      </c>
      <c r="E100" s="358" t="s">
        <v>507</v>
      </c>
      <c r="F100" s="358" t="s">
        <v>507</v>
      </c>
      <c r="G100" s="358" t="s">
        <v>507</v>
      </c>
      <c r="H100" s="358" t="s">
        <v>509</v>
      </c>
      <c r="I100" s="358" t="s">
        <v>509</v>
      </c>
      <c r="J100" s="358" t="s">
        <v>507</v>
      </c>
      <c r="K100" s="358" t="s">
        <v>507</v>
      </c>
      <c r="L100" s="357" t="s">
        <v>509</v>
      </c>
      <c r="M100" s="358" t="s">
        <v>509</v>
      </c>
      <c r="N100" s="358" t="s">
        <v>507</v>
      </c>
      <c r="O100" s="357" t="s">
        <v>507</v>
      </c>
      <c r="P100" s="358" t="s">
        <v>507</v>
      </c>
      <c r="Q100" s="358" t="s">
        <v>507</v>
      </c>
      <c r="R100" s="358" t="s">
        <v>509</v>
      </c>
      <c r="S100" s="358" t="s">
        <v>509</v>
      </c>
      <c r="T100" s="358" t="s">
        <v>509</v>
      </c>
      <c r="U100" s="358" t="s">
        <v>507</v>
      </c>
      <c r="V100" s="352">
        <f>COUNTIF(C100:U100,"Đạt")</f>
        <v>11</v>
      </c>
    </row>
    <row r="101" spans="1:22" ht="20.25" customHeight="1">
      <c r="A101" s="362">
        <v>5</v>
      </c>
      <c r="B101" s="367" t="s">
        <v>549</v>
      </c>
      <c r="C101" s="357" t="s">
        <v>507</v>
      </c>
      <c r="D101" s="358" t="s">
        <v>507</v>
      </c>
      <c r="E101" s="358" t="s">
        <v>507</v>
      </c>
      <c r="F101" s="358" t="s">
        <v>507</v>
      </c>
      <c r="G101" s="358" t="s">
        <v>509</v>
      </c>
      <c r="H101" s="358" t="s">
        <v>509</v>
      </c>
      <c r="I101" s="358" t="s">
        <v>507</v>
      </c>
      <c r="J101" s="358" t="s">
        <v>507</v>
      </c>
      <c r="K101" s="358" t="s">
        <v>509</v>
      </c>
      <c r="L101" s="358" t="s">
        <v>509</v>
      </c>
      <c r="M101" s="358" t="s">
        <v>509</v>
      </c>
      <c r="N101" s="358" t="s">
        <v>507</v>
      </c>
      <c r="O101" s="358" t="s">
        <v>509</v>
      </c>
      <c r="P101" s="358" t="s">
        <v>507</v>
      </c>
      <c r="Q101" s="358" t="s">
        <v>507</v>
      </c>
      <c r="R101" s="358" t="s">
        <v>509</v>
      </c>
      <c r="S101" s="358" t="s">
        <v>509</v>
      </c>
      <c r="T101" s="358" t="s">
        <v>507</v>
      </c>
      <c r="U101" s="358" t="s">
        <v>507</v>
      </c>
      <c r="V101" s="352">
        <f>COUNTIF(C101:U101,"Đạt")</f>
        <v>11</v>
      </c>
    </row>
    <row r="102" spans="1:22" s="446" customFormat="1" ht="20.25" customHeight="1">
      <c r="A102" s="583" t="s">
        <v>550</v>
      </c>
      <c r="B102" s="583"/>
      <c r="C102" s="441">
        <f>COUNTIF(C103:C115,"Đạt")</f>
        <v>13</v>
      </c>
      <c r="D102" s="441">
        <f t="shared" ref="D102:U102" si="9">COUNTIF(D103:D115,"Đạt")</f>
        <v>4</v>
      </c>
      <c r="E102" s="441">
        <f t="shared" si="9"/>
        <v>7</v>
      </c>
      <c r="F102" s="441">
        <f t="shared" si="9"/>
        <v>10</v>
      </c>
      <c r="G102" s="441">
        <f t="shared" si="9"/>
        <v>7</v>
      </c>
      <c r="H102" s="441">
        <f t="shared" si="9"/>
        <v>4</v>
      </c>
      <c r="I102" s="441">
        <f t="shared" si="9"/>
        <v>7</v>
      </c>
      <c r="J102" s="441">
        <f t="shared" si="9"/>
        <v>11</v>
      </c>
      <c r="K102" s="441">
        <f t="shared" si="9"/>
        <v>11</v>
      </c>
      <c r="L102" s="441">
        <f t="shared" si="9"/>
        <v>5</v>
      </c>
      <c r="M102" s="441">
        <f t="shared" si="9"/>
        <v>7</v>
      </c>
      <c r="N102" s="441">
        <f t="shared" si="9"/>
        <v>13</v>
      </c>
      <c r="O102" s="441">
        <f t="shared" si="9"/>
        <v>10</v>
      </c>
      <c r="P102" s="441">
        <f t="shared" si="9"/>
        <v>13</v>
      </c>
      <c r="Q102" s="441">
        <f t="shared" si="9"/>
        <v>12</v>
      </c>
      <c r="R102" s="441">
        <f t="shared" si="9"/>
        <v>8</v>
      </c>
      <c r="S102" s="441">
        <f t="shared" si="9"/>
        <v>3</v>
      </c>
      <c r="T102" s="441">
        <f t="shared" si="9"/>
        <v>11</v>
      </c>
      <c r="U102" s="441">
        <f t="shared" si="9"/>
        <v>13</v>
      </c>
      <c r="V102" s="442"/>
    </row>
    <row r="103" spans="1:22" ht="20.25" customHeight="1">
      <c r="A103" s="392">
        <v>1</v>
      </c>
      <c r="B103" s="356" t="s">
        <v>446</v>
      </c>
      <c r="C103" s="392" t="s">
        <v>507</v>
      </c>
      <c r="D103" s="392" t="s">
        <v>507</v>
      </c>
      <c r="E103" s="392" t="s">
        <v>507</v>
      </c>
      <c r="F103" s="392" t="s">
        <v>507</v>
      </c>
      <c r="G103" s="392" t="s">
        <v>507</v>
      </c>
      <c r="H103" s="392" t="s">
        <v>507</v>
      </c>
      <c r="I103" s="392" t="s">
        <v>507</v>
      </c>
      <c r="J103" s="392" t="s">
        <v>507</v>
      </c>
      <c r="K103" s="392" t="s">
        <v>507</v>
      </c>
      <c r="L103" s="392" t="s">
        <v>507</v>
      </c>
      <c r="M103" s="392" t="s">
        <v>507</v>
      </c>
      <c r="N103" s="392" t="s">
        <v>507</v>
      </c>
      <c r="O103" s="392" t="s">
        <v>507</v>
      </c>
      <c r="P103" s="392" t="s">
        <v>507</v>
      </c>
      <c r="Q103" s="392" t="s">
        <v>507</v>
      </c>
      <c r="R103" s="392" t="s">
        <v>507</v>
      </c>
      <c r="S103" s="392" t="s">
        <v>507</v>
      </c>
      <c r="T103" s="392" t="s">
        <v>507</v>
      </c>
      <c r="U103" s="392" t="s">
        <v>507</v>
      </c>
      <c r="V103" s="352">
        <f t="shared" ref="V103:V115" si="10">COUNTIF(C103:U103,"Đạt")</f>
        <v>19</v>
      </c>
    </row>
    <row r="104" spans="1:22" ht="20.25" customHeight="1">
      <c r="A104" s="392">
        <v>2</v>
      </c>
      <c r="B104" s="356" t="s">
        <v>451</v>
      </c>
      <c r="C104" s="392" t="s">
        <v>507</v>
      </c>
      <c r="D104" s="392" t="s">
        <v>507</v>
      </c>
      <c r="E104" s="392" t="s">
        <v>507</v>
      </c>
      <c r="F104" s="392" t="s">
        <v>507</v>
      </c>
      <c r="G104" s="392" t="s">
        <v>507</v>
      </c>
      <c r="H104" s="392" t="s">
        <v>507</v>
      </c>
      <c r="I104" s="392" t="s">
        <v>507</v>
      </c>
      <c r="J104" s="392" t="s">
        <v>507</v>
      </c>
      <c r="K104" s="392" t="s">
        <v>507</v>
      </c>
      <c r="L104" s="392" t="s">
        <v>507</v>
      </c>
      <c r="M104" s="392" t="s">
        <v>507</v>
      </c>
      <c r="N104" s="392" t="s">
        <v>507</v>
      </c>
      <c r="O104" s="392" t="s">
        <v>507</v>
      </c>
      <c r="P104" s="392" t="s">
        <v>507</v>
      </c>
      <c r="Q104" s="392" t="s">
        <v>507</v>
      </c>
      <c r="R104" s="392" t="s">
        <v>507</v>
      </c>
      <c r="S104" s="392" t="s">
        <v>507</v>
      </c>
      <c r="T104" s="392" t="s">
        <v>507</v>
      </c>
      <c r="U104" s="392" t="s">
        <v>507</v>
      </c>
      <c r="V104" s="352">
        <f t="shared" si="10"/>
        <v>19</v>
      </c>
    </row>
    <row r="105" spans="1:22" ht="20.25" customHeight="1">
      <c r="A105" s="392">
        <v>3</v>
      </c>
      <c r="B105" s="356" t="s">
        <v>454</v>
      </c>
      <c r="C105" s="392" t="s">
        <v>507</v>
      </c>
      <c r="D105" s="392" t="s">
        <v>507</v>
      </c>
      <c r="E105" s="392" t="s">
        <v>507</v>
      </c>
      <c r="F105" s="392" t="s">
        <v>507</v>
      </c>
      <c r="G105" s="392" t="s">
        <v>507</v>
      </c>
      <c r="H105" s="392" t="s">
        <v>507</v>
      </c>
      <c r="I105" s="392" t="s">
        <v>507</v>
      </c>
      <c r="J105" s="392" t="s">
        <v>507</v>
      </c>
      <c r="K105" s="392" t="s">
        <v>507</v>
      </c>
      <c r="L105" s="392" t="s">
        <v>507</v>
      </c>
      <c r="M105" s="392" t="s">
        <v>507</v>
      </c>
      <c r="N105" s="392" t="s">
        <v>507</v>
      </c>
      <c r="O105" s="392" t="s">
        <v>507</v>
      </c>
      <c r="P105" s="392" t="s">
        <v>507</v>
      </c>
      <c r="Q105" s="392" t="s">
        <v>507</v>
      </c>
      <c r="R105" s="392" t="s">
        <v>507</v>
      </c>
      <c r="S105" s="392" t="s">
        <v>509</v>
      </c>
      <c r="T105" s="392" t="s">
        <v>507</v>
      </c>
      <c r="U105" s="392" t="s">
        <v>507</v>
      </c>
      <c r="V105" s="352">
        <f t="shared" si="10"/>
        <v>18</v>
      </c>
    </row>
    <row r="106" spans="1:22" ht="20.25" customHeight="1">
      <c r="A106" s="392">
        <v>4</v>
      </c>
      <c r="B106" s="356" t="s">
        <v>455</v>
      </c>
      <c r="C106" s="392" t="s">
        <v>507</v>
      </c>
      <c r="D106" s="392" t="s">
        <v>507</v>
      </c>
      <c r="E106" s="392" t="s">
        <v>507</v>
      </c>
      <c r="F106" s="392" t="s">
        <v>507</v>
      </c>
      <c r="G106" s="392" t="s">
        <v>507</v>
      </c>
      <c r="H106" s="392" t="s">
        <v>507</v>
      </c>
      <c r="I106" s="392" t="s">
        <v>551</v>
      </c>
      <c r="J106" s="392" t="s">
        <v>507</v>
      </c>
      <c r="K106" s="392" t="s">
        <v>507</v>
      </c>
      <c r="L106" s="392" t="s">
        <v>507</v>
      </c>
      <c r="M106" s="392" t="s">
        <v>507</v>
      </c>
      <c r="N106" s="392" t="s">
        <v>507</v>
      </c>
      <c r="O106" s="392" t="s">
        <v>507</v>
      </c>
      <c r="P106" s="392" t="s">
        <v>507</v>
      </c>
      <c r="Q106" s="392" t="s">
        <v>507</v>
      </c>
      <c r="R106" s="392" t="s">
        <v>507</v>
      </c>
      <c r="S106" s="392" t="s">
        <v>507</v>
      </c>
      <c r="T106" s="392" t="s">
        <v>507</v>
      </c>
      <c r="U106" s="392" t="s">
        <v>507</v>
      </c>
      <c r="V106" s="352">
        <f t="shared" si="10"/>
        <v>18</v>
      </c>
    </row>
    <row r="107" spans="1:22" ht="20.25" customHeight="1">
      <c r="A107" s="392">
        <v>5</v>
      </c>
      <c r="B107" s="356" t="s">
        <v>444</v>
      </c>
      <c r="C107" s="392" t="s">
        <v>507</v>
      </c>
      <c r="D107" s="392" t="s">
        <v>509</v>
      </c>
      <c r="E107" s="392" t="s">
        <v>507</v>
      </c>
      <c r="F107" s="392" t="s">
        <v>509</v>
      </c>
      <c r="G107" s="392" t="s">
        <v>509</v>
      </c>
      <c r="H107" s="392" t="s">
        <v>509</v>
      </c>
      <c r="I107" s="392" t="s">
        <v>45</v>
      </c>
      <c r="J107" s="392" t="s">
        <v>507</v>
      </c>
      <c r="K107" s="392" t="s">
        <v>507</v>
      </c>
      <c r="L107" s="392" t="s">
        <v>509</v>
      </c>
      <c r="M107" s="392" t="s">
        <v>507</v>
      </c>
      <c r="N107" s="392" t="s">
        <v>507</v>
      </c>
      <c r="O107" s="392" t="s">
        <v>507</v>
      </c>
      <c r="P107" s="392" t="s">
        <v>507</v>
      </c>
      <c r="Q107" s="392" t="s">
        <v>507</v>
      </c>
      <c r="R107" s="392" t="s">
        <v>507</v>
      </c>
      <c r="S107" s="392" t="s">
        <v>509</v>
      </c>
      <c r="T107" s="392" t="s">
        <v>507</v>
      </c>
      <c r="U107" s="392" t="s">
        <v>507</v>
      </c>
      <c r="V107" s="352">
        <f t="shared" si="10"/>
        <v>12</v>
      </c>
    </row>
    <row r="108" spans="1:22" ht="20.25" customHeight="1">
      <c r="A108" s="392">
        <v>6</v>
      </c>
      <c r="B108" s="356" t="s">
        <v>448</v>
      </c>
      <c r="C108" s="392" t="s">
        <v>507</v>
      </c>
      <c r="D108" s="392" t="s">
        <v>509</v>
      </c>
      <c r="E108" s="392" t="s">
        <v>509</v>
      </c>
      <c r="F108" s="392" t="s">
        <v>507</v>
      </c>
      <c r="G108" s="392" t="s">
        <v>509</v>
      </c>
      <c r="H108" s="392" t="s">
        <v>509</v>
      </c>
      <c r="I108" s="392" t="s">
        <v>507</v>
      </c>
      <c r="J108" s="392" t="s">
        <v>507</v>
      </c>
      <c r="K108" s="392" t="s">
        <v>507</v>
      </c>
      <c r="L108" s="392" t="s">
        <v>509</v>
      </c>
      <c r="M108" s="392" t="s">
        <v>509</v>
      </c>
      <c r="N108" s="392" t="s">
        <v>507</v>
      </c>
      <c r="O108" s="392" t="s">
        <v>507</v>
      </c>
      <c r="P108" s="392" t="s">
        <v>507</v>
      </c>
      <c r="Q108" s="392" t="s">
        <v>507</v>
      </c>
      <c r="R108" s="392" t="s">
        <v>509</v>
      </c>
      <c r="S108" s="392" t="s">
        <v>509</v>
      </c>
      <c r="T108" s="392" t="s">
        <v>507</v>
      </c>
      <c r="U108" s="392" t="s">
        <v>507</v>
      </c>
      <c r="V108" s="352">
        <f t="shared" si="10"/>
        <v>11</v>
      </c>
    </row>
    <row r="109" spans="1:22" ht="20.25" customHeight="1">
      <c r="A109" s="392">
        <v>7</v>
      </c>
      <c r="B109" s="356" t="s">
        <v>453</v>
      </c>
      <c r="C109" s="392" t="s">
        <v>507</v>
      </c>
      <c r="D109" s="392" t="s">
        <v>509</v>
      </c>
      <c r="E109" s="392" t="s">
        <v>509</v>
      </c>
      <c r="F109" s="392" t="s">
        <v>507</v>
      </c>
      <c r="G109" s="392" t="s">
        <v>507</v>
      </c>
      <c r="H109" s="392" t="s">
        <v>509</v>
      </c>
      <c r="I109" s="392" t="s">
        <v>509</v>
      </c>
      <c r="J109" s="392" t="s">
        <v>509</v>
      </c>
      <c r="K109" s="392" t="s">
        <v>507</v>
      </c>
      <c r="L109" s="392" t="s">
        <v>509</v>
      </c>
      <c r="M109" s="392" t="s">
        <v>507</v>
      </c>
      <c r="N109" s="392" t="s">
        <v>507</v>
      </c>
      <c r="O109" s="392" t="s">
        <v>507</v>
      </c>
      <c r="P109" s="392" t="s">
        <v>507</v>
      </c>
      <c r="Q109" s="392" t="s">
        <v>507</v>
      </c>
      <c r="R109" s="392" t="s">
        <v>509</v>
      </c>
      <c r="S109" s="392" t="s">
        <v>509</v>
      </c>
      <c r="T109" s="392" t="s">
        <v>507</v>
      </c>
      <c r="U109" s="392" t="s">
        <v>507</v>
      </c>
      <c r="V109" s="352">
        <f t="shared" si="10"/>
        <v>11</v>
      </c>
    </row>
    <row r="110" spans="1:22" ht="20.25" customHeight="1">
      <c r="A110" s="392">
        <v>8</v>
      </c>
      <c r="B110" s="356" t="s">
        <v>450</v>
      </c>
      <c r="C110" s="392" t="s">
        <v>507</v>
      </c>
      <c r="D110" s="392" t="s">
        <v>509</v>
      </c>
      <c r="E110" s="392" t="s">
        <v>509</v>
      </c>
      <c r="F110" s="392" t="s">
        <v>509</v>
      </c>
      <c r="G110" s="392" t="s">
        <v>507</v>
      </c>
      <c r="H110" s="392" t="s">
        <v>509</v>
      </c>
      <c r="I110" s="392" t="s">
        <v>507</v>
      </c>
      <c r="J110" s="392" t="s">
        <v>507</v>
      </c>
      <c r="K110" s="392" t="s">
        <v>509</v>
      </c>
      <c r="L110" s="392" t="s">
        <v>509</v>
      </c>
      <c r="M110" s="392" t="s">
        <v>509</v>
      </c>
      <c r="N110" s="392" t="s">
        <v>507</v>
      </c>
      <c r="O110" s="392" t="s">
        <v>507</v>
      </c>
      <c r="P110" s="392" t="s">
        <v>507</v>
      </c>
      <c r="Q110" s="392" t="s">
        <v>507</v>
      </c>
      <c r="R110" s="392" t="s">
        <v>507</v>
      </c>
      <c r="S110" s="392" t="s">
        <v>509</v>
      </c>
      <c r="T110" s="392" t="s">
        <v>507</v>
      </c>
      <c r="U110" s="392" t="s">
        <v>507</v>
      </c>
      <c r="V110" s="352">
        <f t="shared" si="10"/>
        <v>11</v>
      </c>
    </row>
    <row r="111" spans="1:22" ht="20.25" customHeight="1">
      <c r="A111" s="392">
        <v>9</v>
      </c>
      <c r="B111" s="356" t="s">
        <v>456</v>
      </c>
      <c r="C111" s="392" t="s">
        <v>507</v>
      </c>
      <c r="D111" s="392" t="s">
        <v>509</v>
      </c>
      <c r="E111" s="392" t="s">
        <v>45</v>
      </c>
      <c r="F111" s="392" t="s">
        <v>507</v>
      </c>
      <c r="G111" s="392" t="s">
        <v>509</v>
      </c>
      <c r="H111" s="392" t="s">
        <v>509</v>
      </c>
      <c r="I111" s="392" t="s">
        <v>507</v>
      </c>
      <c r="J111" s="392" t="s">
        <v>507</v>
      </c>
      <c r="K111" s="392" t="s">
        <v>509</v>
      </c>
      <c r="L111" s="392" t="s">
        <v>507</v>
      </c>
      <c r="M111" s="392" t="s">
        <v>509</v>
      </c>
      <c r="N111" s="392" t="s">
        <v>507</v>
      </c>
      <c r="O111" s="392" t="s">
        <v>507</v>
      </c>
      <c r="P111" s="392" t="s">
        <v>507</v>
      </c>
      <c r="Q111" s="392" t="s">
        <v>507</v>
      </c>
      <c r="R111" s="392" t="s">
        <v>507</v>
      </c>
      <c r="S111" s="392" t="s">
        <v>509</v>
      </c>
      <c r="T111" s="392" t="s">
        <v>509</v>
      </c>
      <c r="U111" s="392" t="s">
        <v>507</v>
      </c>
      <c r="V111" s="352">
        <f t="shared" si="10"/>
        <v>11</v>
      </c>
    </row>
    <row r="112" spans="1:22" ht="20.25" customHeight="1">
      <c r="A112" s="392">
        <v>10</v>
      </c>
      <c r="B112" s="356" t="s">
        <v>445</v>
      </c>
      <c r="C112" s="392" t="s">
        <v>507</v>
      </c>
      <c r="D112" s="392" t="s">
        <v>509</v>
      </c>
      <c r="E112" s="392" t="s">
        <v>507</v>
      </c>
      <c r="F112" s="392" t="s">
        <v>507</v>
      </c>
      <c r="G112" s="392" t="s">
        <v>509</v>
      </c>
      <c r="H112" s="392" t="s">
        <v>509</v>
      </c>
      <c r="I112" s="392" t="s">
        <v>507</v>
      </c>
      <c r="J112" s="392" t="s">
        <v>509</v>
      </c>
      <c r="K112" s="392" t="s">
        <v>507</v>
      </c>
      <c r="L112" s="392" t="s">
        <v>509</v>
      </c>
      <c r="M112" s="392" t="s">
        <v>507</v>
      </c>
      <c r="N112" s="392" t="s">
        <v>507</v>
      </c>
      <c r="O112" s="392" t="s">
        <v>509</v>
      </c>
      <c r="P112" s="392" t="s">
        <v>507</v>
      </c>
      <c r="Q112" s="392" t="s">
        <v>509</v>
      </c>
      <c r="R112" s="392" t="s">
        <v>509</v>
      </c>
      <c r="S112" s="392" t="s">
        <v>509</v>
      </c>
      <c r="T112" s="392" t="s">
        <v>507</v>
      </c>
      <c r="U112" s="392" t="s">
        <v>507</v>
      </c>
      <c r="V112" s="352">
        <f t="shared" si="10"/>
        <v>10</v>
      </c>
    </row>
    <row r="113" spans="1:22" ht="20.25" customHeight="1">
      <c r="A113" s="392">
        <v>11</v>
      </c>
      <c r="B113" s="356" t="s">
        <v>452</v>
      </c>
      <c r="C113" s="392" t="s">
        <v>507</v>
      </c>
      <c r="D113" s="392" t="s">
        <v>509</v>
      </c>
      <c r="E113" s="392" t="s">
        <v>509</v>
      </c>
      <c r="F113" s="392" t="s">
        <v>509</v>
      </c>
      <c r="G113" s="392" t="s">
        <v>509</v>
      </c>
      <c r="H113" s="392" t="s">
        <v>509</v>
      </c>
      <c r="I113" s="392" t="s">
        <v>509</v>
      </c>
      <c r="J113" s="392" t="s">
        <v>507</v>
      </c>
      <c r="K113" s="392" t="s">
        <v>507</v>
      </c>
      <c r="L113" s="392" t="s">
        <v>509</v>
      </c>
      <c r="M113" s="392" t="s">
        <v>509</v>
      </c>
      <c r="N113" s="392" t="s">
        <v>507</v>
      </c>
      <c r="O113" s="392" t="s">
        <v>507</v>
      </c>
      <c r="P113" s="392" t="s">
        <v>507</v>
      </c>
      <c r="Q113" s="392" t="s">
        <v>507</v>
      </c>
      <c r="R113" s="392" t="s">
        <v>507</v>
      </c>
      <c r="S113" s="392" t="s">
        <v>509</v>
      </c>
      <c r="T113" s="392" t="s">
        <v>507</v>
      </c>
      <c r="U113" s="392" t="s">
        <v>507</v>
      </c>
      <c r="V113" s="352">
        <f t="shared" si="10"/>
        <v>10</v>
      </c>
    </row>
    <row r="114" spans="1:22" ht="20.25" customHeight="1">
      <c r="A114" s="392">
        <v>12</v>
      </c>
      <c r="B114" s="356" t="s">
        <v>449</v>
      </c>
      <c r="C114" s="392" t="s">
        <v>507</v>
      </c>
      <c r="D114" s="392" t="s">
        <v>509</v>
      </c>
      <c r="E114" s="392" t="s">
        <v>507</v>
      </c>
      <c r="F114" s="392" t="s">
        <v>507</v>
      </c>
      <c r="G114" s="392" t="s">
        <v>509</v>
      </c>
      <c r="H114" s="392" t="s">
        <v>509</v>
      </c>
      <c r="I114" s="392" t="s">
        <v>509</v>
      </c>
      <c r="J114" s="392" t="s">
        <v>507</v>
      </c>
      <c r="K114" s="392" t="s">
        <v>507</v>
      </c>
      <c r="L114" s="392" t="s">
        <v>509</v>
      </c>
      <c r="M114" s="392" t="s">
        <v>509</v>
      </c>
      <c r="N114" s="392" t="s">
        <v>507</v>
      </c>
      <c r="O114" s="392" t="s">
        <v>509</v>
      </c>
      <c r="P114" s="392" t="s">
        <v>507</v>
      </c>
      <c r="Q114" s="392" t="s">
        <v>507</v>
      </c>
      <c r="R114" s="392" t="s">
        <v>509</v>
      </c>
      <c r="S114" s="392" t="s">
        <v>509</v>
      </c>
      <c r="T114" s="392" t="s">
        <v>507</v>
      </c>
      <c r="U114" s="392" t="s">
        <v>507</v>
      </c>
      <c r="V114" s="352">
        <f t="shared" si="10"/>
        <v>10</v>
      </c>
    </row>
    <row r="115" spans="1:22" ht="20.25" customHeight="1">
      <c r="A115" s="392">
        <v>13</v>
      </c>
      <c r="B115" s="356" t="s">
        <v>447</v>
      </c>
      <c r="C115" s="392" t="s">
        <v>507</v>
      </c>
      <c r="D115" s="392" t="s">
        <v>509</v>
      </c>
      <c r="E115" s="392" t="s">
        <v>509</v>
      </c>
      <c r="F115" s="392" t="s">
        <v>507</v>
      </c>
      <c r="G115" s="392" t="s">
        <v>507</v>
      </c>
      <c r="H115" s="392" t="s">
        <v>509</v>
      </c>
      <c r="I115" s="392" t="s">
        <v>509</v>
      </c>
      <c r="J115" s="392" t="s">
        <v>507</v>
      </c>
      <c r="K115" s="392" t="s">
        <v>507</v>
      </c>
      <c r="L115" s="392" t="s">
        <v>509</v>
      </c>
      <c r="M115" s="392" t="s">
        <v>509</v>
      </c>
      <c r="N115" s="392" t="s">
        <v>507</v>
      </c>
      <c r="O115" s="392" t="s">
        <v>509</v>
      </c>
      <c r="P115" s="392" t="s">
        <v>507</v>
      </c>
      <c r="Q115" s="392" t="s">
        <v>507</v>
      </c>
      <c r="R115" s="392" t="s">
        <v>509</v>
      </c>
      <c r="S115" s="392" t="s">
        <v>509</v>
      </c>
      <c r="T115" s="392" t="s">
        <v>509</v>
      </c>
      <c r="U115" s="392" t="s">
        <v>507</v>
      </c>
      <c r="V115" s="352">
        <f t="shared" si="10"/>
        <v>9</v>
      </c>
    </row>
    <row r="116" spans="1:22" s="446" customFormat="1" ht="20.25" customHeight="1">
      <c r="A116" s="583" t="s">
        <v>552</v>
      </c>
      <c r="B116" s="583"/>
      <c r="C116" s="441">
        <f>COUNTIF(C117:C146,"Đạt")</f>
        <v>30</v>
      </c>
      <c r="D116" s="441">
        <f t="shared" ref="D116:U116" si="11">COUNTIF(D117:D146,"Đạt")</f>
        <v>9</v>
      </c>
      <c r="E116" s="441">
        <f t="shared" si="11"/>
        <v>17</v>
      </c>
      <c r="F116" s="441">
        <f t="shared" si="11"/>
        <v>27</v>
      </c>
      <c r="G116" s="441">
        <f t="shared" si="11"/>
        <v>19</v>
      </c>
      <c r="H116" s="441">
        <f t="shared" si="11"/>
        <v>11</v>
      </c>
      <c r="I116" s="441">
        <f t="shared" si="11"/>
        <v>13</v>
      </c>
      <c r="J116" s="441">
        <f t="shared" si="11"/>
        <v>30</v>
      </c>
      <c r="K116" s="441">
        <f t="shared" si="11"/>
        <v>19</v>
      </c>
      <c r="L116" s="441">
        <f t="shared" si="11"/>
        <v>9</v>
      </c>
      <c r="M116" s="441">
        <f t="shared" si="11"/>
        <v>19</v>
      </c>
      <c r="N116" s="441">
        <f t="shared" si="11"/>
        <v>30</v>
      </c>
      <c r="O116" s="441">
        <f t="shared" si="11"/>
        <v>26</v>
      </c>
      <c r="P116" s="441">
        <f t="shared" si="11"/>
        <v>30</v>
      </c>
      <c r="Q116" s="441">
        <f t="shared" si="11"/>
        <v>27</v>
      </c>
      <c r="R116" s="441">
        <f t="shared" si="11"/>
        <v>28</v>
      </c>
      <c r="S116" s="441">
        <f t="shared" si="11"/>
        <v>10</v>
      </c>
      <c r="T116" s="441">
        <f t="shared" si="11"/>
        <v>23</v>
      </c>
      <c r="U116" s="441">
        <f t="shared" si="11"/>
        <v>29</v>
      </c>
      <c r="V116" s="442"/>
    </row>
    <row r="117" spans="1:22" ht="20.25" customHeight="1">
      <c r="A117" s="393">
        <v>1</v>
      </c>
      <c r="B117" s="394" t="s">
        <v>553</v>
      </c>
      <c r="C117" s="395" t="s">
        <v>507</v>
      </c>
      <c r="D117" s="395" t="s">
        <v>507</v>
      </c>
      <c r="E117" s="395" t="s">
        <v>507</v>
      </c>
      <c r="F117" s="395" t="s">
        <v>507</v>
      </c>
      <c r="G117" s="395" t="s">
        <v>507</v>
      </c>
      <c r="H117" s="395" t="s">
        <v>507</v>
      </c>
      <c r="I117" s="396" t="s">
        <v>507</v>
      </c>
      <c r="J117" s="395" t="s">
        <v>507</v>
      </c>
      <c r="K117" s="395" t="s">
        <v>507</v>
      </c>
      <c r="L117" s="395" t="s">
        <v>507</v>
      </c>
      <c r="M117" s="395" t="s">
        <v>507</v>
      </c>
      <c r="N117" s="395" t="s">
        <v>507</v>
      </c>
      <c r="O117" s="395" t="s">
        <v>507</v>
      </c>
      <c r="P117" s="395" t="s">
        <v>507</v>
      </c>
      <c r="Q117" s="395" t="s">
        <v>507</v>
      </c>
      <c r="R117" s="395" t="s">
        <v>507</v>
      </c>
      <c r="S117" s="395" t="s">
        <v>507</v>
      </c>
      <c r="T117" s="395" t="s">
        <v>507</v>
      </c>
      <c r="U117" s="395" t="s">
        <v>507</v>
      </c>
      <c r="V117" s="397">
        <f t="shared" ref="V117:V146" si="12">COUNTIF(C117:U117,"Đạt")</f>
        <v>19</v>
      </c>
    </row>
    <row r="118" spans="1:22" s="398" customFormat="1" ht="20.25" customHeight="1">
      <c r="A118" s="378">
        <v>2</v>
      </c>
      <c r="B118" s="394" t="s">
        <v>28</v>
      </c>
      <c r="C118" s="395" t="s">
        <v>507</v>
      </c>
      <c r="D118" s="395" t="s">
        <v>507</v>
      </c>
      <c r="E118" s="395" t="s">
        <v>507</v>
      </c>
      <c r="F118" s="395" t="s">
        <v>507</v>
      </c>
      <c r="G118" s="395" t="s">
        <v>507</v>
      </c>
      <c r="H118" s="395" t="s">
        <v>507</v>
      </c>
      <c r="I118" s="395" t="s">
        <v>507</v>
      </c>
      <c r="J118" s="395" t="s">
        <v>507</v>
      </c>
      <c r="K118" s="395" t="s">
        <v>507</v>
      </c>
      <c r="L118" s="395" t="s">
        <v>507</v>
      </c>
      <c r="M118" s="395" t="s">
        <v>507</v>
      </c>
      <c r="N118" s="395" t="s">
        <v>507</v>
      </c>
      <c r="O118" s="395" t="s">
        <v>507</v>
      </c>
      <c r="P118" s="395" t="s">
        <v>507</v>
      </c>
      <c r="Q118" s="395" t="s">
        <v>507</v>
      </c>
      <c r="R118" s="395" t="s">
        <v>507</v>
      </c>
      <c r="S118" s="395" t="s">
        <v>507</v>
      </c>
      <c r="T118" s="395" t="s">
        <v>507</v>
      </c>
      <c r="U118" s="395" t="s">
        <v>507</v>
      </c>
      <c r="V118" s="397">
        <f t="shared" si="12"/>
        <v>19</v>
      </c>
    </row>
    <row r="119" spans="1:22" s="398" customFormat="1" ht="20.25" customHeight="1">
      <c r="A119" s="393">
        <v>3</v>
      </c>
      <c r="B119" s="394" t="s">
        <v>554</v>
      </c>
      <c r="C119" s="395" t="s">
        <v>507</v>
      </c>
      <c r="D119" s="395" t="s">
        <v>507</v>
      </c>
      <c r="E119" s="395" t="s">
        <v>507</v>
      </c>
      <c r="F119" s="395" t="s">
        <v>507</v>
      </c>
      <c r="G119" s="395" t="s">
        <v>507</v>
      </c>
      <c r="H119" s="395" t="s">
        <v>507</v>
      </c>
      <c r="I119" s="395" t="s">
        <v>507</v>
      </c>
      <c r="J119" s="395" t="s">
        <v>507</v>
      </c>
      <c r="K119" s="395" t="s">
        <v>507</v>
      </c>
      <c r="L119" s="395" t="s">
        <v>507</v>
      </c>
      <c r="M119" s="395" t="s">
        <v>507</v>
      </c>
      <c r="N119" s="395" t="s">
        <v>507</v>
      </c>
      <c r="O119" s="395" t="s">
        <v>507</v>
      </c>
      <c r="P119" s="395" t="s">
        <v>507</v>
      </c>
      <c r="Q119" s="395" t="s">
        <v>507</v>
      </c>
      <c r="R119" s="395" t="s">
        <v>507</v>
      </c>
      <c r="S119" s="395" t="s">
        <v>507</v>
      </c>
      <c r="T119" s="395" t="s">
        <v>507</v>
      </c>
      <c r="U119" s="395" t="s">
        <v>507</v>
      </c>
      <c r="V119" s="397">
        <f t="shared" si="12"/>
        <v>19</v>
      </c>
    </row>
    <row r="120" spans="1:22" s="398" customFormat="1" ht="20.25" customHeight="1">
      <c r="A120" s="393">
        <v>4</v>
      </c>
      <c r="B120" s="394" t="s">
        <v>555</v>
      </c>
      <c r="C120" s="395" t="s">
        <v>507</v>
      </c>
      <c r="D120" s="395" t="s">
        <v>507</v>
      </c>
      <c r="E120" s="395" t="s">
        <v>507</v>
      </c>
      <c r="F120" s="395" t="s">
        <v>507</v>
      </c>
      <c r="G120" s="395" t="s">
        <v>507</v>
      </c>
      <c r="H120" s="395" t="s">
        <v>507</v>
      </c>
      <c r="I120" s="395" t="s">
        <v>507</v>
      </c>
      <c r="J120" s="395" t="s">
        <v>507</v>
      </c>
      <c r="K120" s="395" t="s">
        <v>507</v>
      </c>
      <c r="L120" s="395" t="s">
        <v>507</v>
      </c>
      <c r="M120" s="395" t="s">
        <v>507</v>
      </c>
      <c r="N120" s="395" t="s">
        <v>507</v>
      </c>
      <c r="O120" s="395" t="s">
        <v>507</v>
      </c>
      <c r="P120" s="395" t="s">
        <v>507</v>
      </c>
      <c r="Q120" s="395" t="s">
        <v>507</v>
      </c>
      <c r="R120" s="395" t="s">
        <v>507</v>
      </c>
      <c r="S120" s="395" t="s">
        <v>507</v>
      </c>
      <c r="T120" s="395" t="s">
        <v>507</v>
      </c>
      <c r="U120" s="395" t="s">
        <v>507</v>
      </c>
      <c r="V120" s="397">
        <f t="shared" si="12"/>
        <v>19</v>
      </c>
    </row>
    <row r="121" spans="1:22" s="398" customFormat="1" ht="20.25" customHeight="1">
      <c r="A121" s="378">
        <v>5</v>
      </c>
      <c r="B121" s="394" t="s">
        <v>556</v>
      </c>
      <c r="C121" s="395" t="s">
        <v>507</v>
      </c>
      <c r="D121" s="395" t="s">
        <v>507</v>
      </c>
      <c r="E121" s="395" t="s">
        <v>507</v>
      </c>
      <c r="F121" s="395" t="s">
        <v>507</v>
      </c>
      <c r="G121" s="395" t="s">
        <v>507</v>
      </c>
      <c r="H121" s="395" t="s">
        <v>507</v>
      </c>
      <c r="I121" s="395" t="s">
        <v>507</v>
      </c>
      <c r="J121" s="395" t="s">
        <v>507</v>
      </c>
      <c r="K121" s="395" t="s">
        <v>507</v>
      </c>
      <c r="L121" s="395" t="s">
        <v>507</v>
      </c>
      <c r="M121" s="395" t="s">
        <v>507</v>
      </c>
      <c r="N121" s="395" t="s">
        <v>507</v>
      </c>
      <c r="O121" s="395" t="s">
        <v>507</v>
      </c>
      <c r="P121" s="395" t="s">
        <v>507</v>
      </c>
      <c r="Q121" s="395" t="s">
        <v>507</v>
      </c>
      <c r="R121" s="395" t="s">
        <v>507</v>
      </c>
      <c r="S121" s="395" t="s">
        <v>507</v>
      </c>
      <c r="T121" s="395" t="s">
        <v>507</v>
      </c>
      <c r="U121" s="395" t="s">
        <v>507</v>
      </c>
      <c r="V121" s="397">
        <f t="shared" si="12"/>
        <v>19</v>
      </c>
    </row>
    <row r="122" spans="1:22" s="398" customFormat="1" ht="20.25" customHeight="1">
      <c r="A122" s="393">
        <v>6</v>
      </c>
      <c r="B122" s="394" t="s">
        <v>557</v>
      </c>
      <c r="C122" s="395" t="s">
        <v>507</v>
      </c>
      <c r="D122" s="395" t="s">
        <v>507</v>
      </c>
      <c r="E122" s="395" t="s">
        <v>507</v>
      </c>
      <c r="F122" s="395" t="s">
        <v>507</v>
      </c>
      <c r="G122" s="395" t="s">
        <v>507</v>
      </c>
      <c r="H122" s="395" t="s">
        <v>507</v>
      </c>
      <c r="I122" s="366" t="s">
        <v>509</v>
      </c>
      <c r="J122" s="395" t="s">
        <v>507</v>
      </c>
      <c r="K122" s="395" t="s">
        <v>507</v>
      </c>
      <c r="L122" s="395" t="s">
        <v>507</v>
      </c>
      <c r="M122" s="395" t="s">
        <v>507</v>
      </c>
      <c r="N122" s="395" t="s">
        <v>507</v>
      </c>
      <c r="O122" s="395" t="s">
        <v>507</v>
      </c>
      <c r="P122" s="395" t="s">
        <v>507</v>
      </c>
      <c r="Q122" s="395" t="s">
        <v>507</v>
      </c>
      <c r="R122" s="395" t="s">
        <v>507</v>
      </c>
      <c r="S122" s="395" t="s">
        <v>507</v>
      </c>
      <c r="T122" s="395" t="s">
        <v>507</v>
      </c>
      <c r="U122" s="395" t="s">
        <v>507</v>
      </c>
      <c r="V122" s="397">
        <f t="shared" si="12"/>
        <v>18</v>
      </c>
    </row>
    <row r="123" spans="1:22" s="398" customFormat="1" ht="20.25" customHeight="1">
      <c r="A123" s="393">
        <v>7</v>
      </c>
      <c r="B123" s="394" t="s">
        <v>558</v>
      </c>
      <c r="C123" s="395" t="s">
        <v>507</v>
      </c>
      <c r="D123" s="395" t="s">
        <v>507</v>
      </c>
      <c r="E123" s="395" t="s">
        <v>507</v>
      </c>
      <c r="F123" s="395" t="s">
        <v>507</v>
      </c>
      <c r="G123" s="395" t="s">
        <v>507</v>
      </c>
      <c r="H123" s="395" t="s">
        <v>507</v>
      </c>
      <c r="I123" s="395" t="s">
        <v>509</v>
      </c>
      <c r="J123" s="395" t="s">
        <v>507</v>
      </c>
      <c r="K123" s="395" t="s">
        <v>507</v>
      </c>
      <c r="L123" s="395" t="s">
        <v>507</v>
      </c>
      <c r="M123" s="395" t="s">
        <v>507</v>
      </c>
      <c r="N123" s="395" t="s">
        <v>507</v>
      </c>
      <c r="O123" s="395" t="s">
        <v>507</v>
      </c>
      <c r="P123" s="395" t="s">
        <v>507</v>
      </c>
      <c r="Q123" s="395" t="s">
        <v>507</v>
      </c>
      <c r="R123" s="395" t="s">
        <v>507</v>
      </c>
      <c r="S123" s="395" t="s">
        <v>507</v>
      </c>
      <c r="T123" s="395" t="s">
        <v>507</v>
      </c>
      <c r="U123" s="395" t="s">
        <v>507</v>
      </c>
      <c r="V123" s="397">
        <f t="shared" si="12"/>
        <v>18</v>
      </c>
    </row>
    <row r="124" spans="1:22" s="398" customFormat="1" ht="20.25" customHeight="1">
      <c r="A124" s="378">
        <v>8</v>
      </c>
      <c r="B124" s="394" t="s">
        <v>559</v>
      </c>
      <c r="C124" s="395" t="s">
        <v>507</v>
      </c>
      <c r="D124" s="395" t="s">
        <v>507</v>
      </c>
      <c r="E124" s="395" t="s">
        <v>507</v>
      </c>
      <c r="F124" s="395" t="s">
        <v>507</v>
      </c>
      <c r="G124" s="395" t="s">
        <v>507</v>
      </c>
      <c r="H124" s="395" t="s">
        <v>507</v>
      </c>
      <c r="I124" s="366" t="s">
        <v>509</v>
      </c>
      <c r="J124" s="395" t="s">
        <v>507</v>
      </c>
      <c r="K124" s="395" t="s">
        <v>507</v>
      </c>
      <c r="L124" s="395" t="s">
        <v>507</v>
      </c>
      <c r="M124" s="395" t="s">
        <v>507</v>
      </c>
      <c r="N124" s="395" t="s">
        <v>507</v>
      </c>
      <c r="O124" s="395" t="s">
        <v>507</v>
      </c>
      <c r="P124" s="395" t="s">
        <v>507</v>
      </c>
      <c r="Q124" s="395" t="s">
        <v>507</v>
      </c>
      <c r="R124" s="395" t="s">
        <v>507</v>
      </c>
      <c r="S124" s="395" t="s">
        <v>507</v>
      </c>
      <c r="T124" s="395" t="s">
        <v>507</v>
      </c>
      <c r="U124" s="395" t="s">
        <v>507</v>
      </c>
      <c r="V124" s="397">
        <f t="shared" si="12"/>
        <v>18</v>
      </c>
    </row>
    <row r="125" spans="1:22" s="398" customFormat="1" ht="20.25" customHeight="1">
      <c r="A125" s="393">
        <v>9</v>
      </c>
      <c r="B125" s="394" t="s">
        <v>560</v>
      </c>
      <c r="C125" s="395" t="s">
        <v>507</v>
      </c>
      <c r="D125" s="395" t="s">
        <v>507</v>
      </c>
      <c r="E125" s="392" t="s">
        <v>507</v>
      </c>
      <c r="F125" s="392" t="s">
        <v>507</v>
      </c>
      <c r="G125" s="392" t="s">
        <v>507</v>
      </c>
      <c r="H125" s="392" t="s">
        <v>507</v>
      </c>
      <c r="I125" s="396" t="s">
        <v>508</v>
      </c>
      <c r="J125" s="395" t="s">
        <v>507</v>
      </c>
      <c r="K125" s="392" t="s">
        <v>507</v>
      </c>
      <c r="L125" s="392" t="s">
        <v>507</v>
      </c>
      <c r="M125" s="392" t="s">
        <v>507</v>
      </c>
      <c r="N125" s="395" t="s">
        <v>507</v>
      </c>
      <c r="O125" s="395" t="s">
        <v>507</v>
      </c>
      <c r="P125" s="395" t="s">
        <v>507</v>
      </c>
      <c r="Q125" s="395" t="s">
        <v>507</v>
      </c>
      <c r="R125" s="395" t="s">
        <v>507</v>
      </c>
      <c r="S125" s="395" t="s">
        <v>507</v>
      </c>
      <c r="T125" s="395" t="s">
        <v>507</v>
      </c>
      <c r="U125" s="395" t="s">
        <v>507</v>
      </c>
      <c r="V125" s="397">
        <f t="shared" si="12"/>
        <v>18</v>
      </c>
    </row>
    <row r="126" spans="1:22" s="399" customFormat="1" ht="20.25" customHeight="1">
      <c r="A126" s="393">
        <v>10</v>
      </c>
      <c r="B126" s="394" t="s">
        <v>561</v>
      </c>
      <c r="C126" s="395" t="s">
        <v>507</v>
      </c>
      <c r="D126" s="395" t="s">
        <v>509</v>
      </c>
      <c r="E126" s="395" t="s">
        <v>509</v>
      </c>
      <c r="F126" s="392" t="s">
        <v>507</v>
      </c>
      <c r="G126" s="395" t="s">
        <v>507</v>
      </c>
      <c r="H126" s="395" t="s">
        <v>509</v>
      </c>
      <c r="I126" s="395" t="s">
        <v>507</v>
      </c>
      <c r="J126" s="395" t="s">
        <v>507</v>
      </c>
      <c r="K126" s="395" t="s">
        <v>507</v>
      </c>
      <c r="L126" s="395" t="s">
        <v>509</v>
      </c>
      <c r="M126" s="395" t="s">
        <v>507</v>
      </c>
      <c r="N126" s="395" t="s">
        <v>507</v>
      </c>
      <c r="O126" s="395" t="s">
        <v>507</v>
      </c>
      <c r="P126" s="395" t="s">
        <v>507</v>
      </c>
      <c r="Q126" s="395" t="s">
        <v>509</v>
      </c>
      <c r="R126" s="395" t="s">
        <v>509</v>
      </c>
      <c r="S126" s="395" t="s">
        <v>507</v>
      </c>
      <c r="T126" s="395" t="s">
        <v>507</v>
      </c>
      <c r="U126" s="395" t="s">
        <v>507</v>
      </c>
      <c r="V126" s="397">
        <f t="shared" si="12"/>
        <v>13</v>
      </c>
    </row>
    <row r="127" spans="1:22" s="399" customFormat="1" ht="20.25" customHeight="1">
      <c r="A127" s="378">
        <v>11</v>
      </c>
      <c r="B127" s="394" t="s">
        <v>562</v>
      </c>
      <c r="C127" s="395" t="s">
        <v>507</v>
      </c>
      <c r="D127" s="395" t="s">
        <v>509</v>
      </c>
      <c r="E127" s="395" t="s">
        <v>507</v>
      </c>
      <c r="F127" s="395" t="s">
        <v>507</v>
      </c>
      <c r="G127" s="395" t="s">
        <v>507</v>
      </c>
      <c r="H127" s="395" t="s">
        <v>509</v>
      </c>
      <c r="I127" s="396" t="s">
        <v>509</v>
      </c>
      <c r="J127" s="395" t="s">
        <v>507</v>
      </c>
      <c r="K127" s="395" t="s">
        <v>509</v>
      </c>
      <c r="L127" s="395" t="s">
        <v>509</v>
      </c>
      <c r="M127" s="395" t="s">
        <v>507</v>
      </c>
      <c r="N127" s="395" t="s">
        <v>507</v>
      </c>
      <c r="O127" s="395" t="s">
        <v>507</v>
      </c>
      <c r="P127" s="395" t="s">
        <v>507</v>
      </c>
      <c r="Q127" s="395" t="s">
        <v>507</v>
      </c>
      <c r="R127" s="395" t="s">
        <v>507</v>
      </c>
      <c r="S127" s="395" t="s">
        <v>509</v>
      </c>
      <c r="T127" s="395" t="s">
        <v>507</v>
      </c>
      <c r="U127" s="395" t="s">
        <v>507</v>
      </c>
      <c r="V127" s="397">
        <f t="shared" si="12"/>
        <v>13</v>
      </c>
    </row>
    <row r="128" spans="1:22" s="399" customFormat="1" ht="20.25" customHeight="1">
      <c r="A128" s="393">
        <v>12</v>
      </c>
      <c r="B128" s="394" t="s">
        <v>563</v>
      </c>
      <c r="C128" s="395" t="s">
        <v>507</v>
      </c>
      <c r="D128" s="395" t="s">
        <v>509</v>
      </c>
      <c r="E128" s="395" t="s">
        <v>507</v>
      </c>
      <c r="F128" s="392" t="s">
        <v>507</v>
      </c>
      <c r="G128" s="395" t="s">
        <v>509</v>
      </c>
      <c r="H128" s="395" t="s">
        <v>509</v>
      </c>
      <c r="I128" s="395" t="s">
        <v>507</v>
      </c>
      <c r="J128" s="395" t="s">
        <v>507</v>
      </c>
      <c r="K128" s="395" t="s">
        <v>509</v>
      </c>
      <c r="L128" s="395" t="s">
        <v>509</v>
      </c>
      <c r="M128" s="392" t="s">
        <v>507</v>
      </c>
      <c r="N128" s="395" t="s">
        <v>507</v>
      </c>
      <c r="O128" s="395" t="s">
        <v>507</v>
      </c>
      <c r="P128" s="395" t="s">
        <v>507</v>
      </c>
      <c r="Q128" s="395" t="s">
        <v>507</v>
      </c>
      <c r="R128" s="395" t="s">
        <v>507</v>
      </c>
      <c r="S128" s="395" t="s">
        <v>509</v>
      </c>
      <c r="T128" s="395" t="s">
        <v>507</v>
      </c>
      <c r="U128" s="395" t="s">
        <v>507</v>
      </c>
      <c r="V128" s="397">
        <f t="shared" si="12"/>
        <v>13</v>
      </c>
    </row>
    <row r="129" spans="1:22" s="399" customFormat="1" ht="20.25" customHeight="1">
      <c r="A129" s="393">
        <v>13</v>
      </c>
      <c r="B129" s="394" t="s">
        <v>564</v>
      </c>
      <c r="C129" s="395" t="s">
        <v>507</v>
      </c>
      <c r="D129" s="395" t="s">
        <v>509</v>
      </c>
      <c r="E129" s="395" t="s">
        <v>507</v>
      </c>
      <c r="F129" s="392" t="s">
        <v>507</v>
      </c>
      <c r="G129" s="392" t="s">
        <v>507</v>
      </c>
      <c r="H129" s="395" t="s">
        <v>509</v>
      </c>
      <c r="I129" s="396" t="s">
        <v>508</v>
      </c>
      <c r="J129" s="395" t="s">
        <v>507</v>
      </c>
      <c r="K129" s="395" t="s">
        <v>509</v>
      </c>
      <c r="L129" s="395" t="s">
        <v>509</v>
      </c>
      <c r="M129" s="395" t="s">
        <v>507</v>
      </c>
      <c r="N129" s="395" t="s">
        <v>507</v>
      </c>
      <c r="O129" s="395" t="s">
        <v>507</v>
      </c>
      <c r="P129" s="395" t="s">
        <v>507</v>
      </c>
      <c r="Q129" s="395" t="s">
        <v>507</v>
      </c>
      <c r="R129" s="395" t="s">
        <v>507</v>
      </c>
      <c r="S129" s="395" t="s">
        <v>509</v>
      </c>
      <c r="T129" s="395" t="s">
        <v>509</v>
      </c>
      <c r="U129" s="395" t="s">
        <v>507</v>
      </c>
      <c r="V129" s="397">
        <f t="shared" si="12"/>
        <v>12</v>
      </c>
    </row>
    <row r="130" spans="1:22" s="399" customFormat="1" ht="20.25" customHeight="1">
      <c r="A130" s="378">
        <v>14</v>
      </c>
      <c r="B130" s="394" t="s">
        <v>565</v>
      </c>
      <c r="C130" s="395" t="s">
        <v>507</v>
      </c>
      <c r="D130" s="395" t="s">
        <v>509</v>
      </c>
      <c r="E130" s="395" t="s">
        <v>509</v>
      </c>
      <c r="F130" s="395" t="s">
        <v>507</v>
      </c>
      <c r="G130" s="395" t="s">
        <v>509</v>
      </c>
      <c r="H130" s="395" t="s">
        <v>509</v>
      </c>
      <c r="I130" s="395" t="s">
        <v>507</v>
      </c>
      <c r="J130" s="395" t="s">
        <v>507</v>
      </c>
      <c r="K130" s="395" t="s">
        <v>507</v>
      </c>
      <c r="L130" s="395" t="s">
        <v>509</v>
      </c>
      <c r="M130" s="395" t="s">
        <v>507</v>
      </c>
      <c r="N130" s="395" t="s">
        <v>507</v>
      </c>
      <c r="O130" s="395" t="s">
        <v>507</v>
      </c>
      <c r="P130" s="395" t="s">
        <v>507</v>
      </c>
      <c r="Q130" s="395" t="s">
        <v>507</v>
      </c>
      <c r="R130" s="395" t="s">
        <v>507</v>
      </c>
      <c r="S130" s="395" t="s">
        <v>509</v>
      </c>
      <c r="T130" s="395" t="s">
        <v>509</v>
      </c>
      <c r="U130" s="395" t="s">
        <v>507</v>
      </c>
      <c r="V130" s="397">
        <f t="shared" si="12"/>
        <v>12</v>
      </c>
    </row>
    <row r="131" spans="1:22" s="399" customFormat="1" ht="20.25" customHeight="1">
      <c r="A131" s="393">
        <v>15</v>
      </c>
      <c r="B131" s="394" t="s">
        <v>566</v>
      </c>
      <c r="C131" s="395" t="s">
        <v>507</v>
      </c>
      <c r="D131" s="395" t="s">
        <v>509</v>
      </c>
      <c r="E131" s="395" t="s">
        <v>509</v>
      </c>
      <c r="F131" s="392" t="s">
        <v>507</v>
      </c>
      <c r="G131" s="392" t="s">
        <v>507</v>
      </c>
      <c r="H131" s="395" t="s">
        <v>509</v>
      </c>
      <c r="I131" s="395" t="s">
        <v>507</v>
      </c>
      <c r="J131" s="395" t="s">
        <v>507</v>
      </c>
      <c r="K131" s="395" t="s">
        <v>509</v>
      </c>
      <c r="L131" s="395" t="s">
        <v>509</v>
      </c>
      <c r="M131" s="395" t="s">
        <v>509</v>
      </c>
      <c r="N131" s="395" t="s">
        <v>507</v>
      </c>
      <c r="O131" s="395" t="s">
        <v>507</v>
      </c>
      <c r="P131" s="395" t="s">
        <v>507</v>
      </c>
      <c r="Q131" s="395" t="s">
        <v>507</v>
      </c>
      <c r="R131" s="395" t="s">
        <v>507</v>
      </c>
      <c r="S131" s="395" t="s">
        <v>509</v>
      </c>
      <c r="T131" s="395" t="s">
        <v>507</v>
      </c>
      <c r="U131" s="395" t="s">
        <v>507</v>
      </c>
      <c r="V131" s="397">
        <f t="shared" si="12"/>
        <v>12</v>
      </c>
    </row>
    <row r="132" spans="1:22" s="399" customFormat="1" ht="20.25" customHeight="1">
      <c r="A132" s="393">
        <v>16</v>
      </c>
      <c r="B132" s="400" t="s">
        <v>567</v>
      </c>
      <c r="C132" s="395" t="s">
        <v>507</v>
      </c>
      <c r="D132" s="395" t="s">
        <v>509</v>
      </c>
      <c r="E132" s="395" t="s">
        <v>507</v>
      </c>
      <c r="F132" s="395" t="s">
        <v>507</v>
      </c>
      <c r="G132" s="395" t="s">
        <v>509</v>
      </c>
      <c r="H132" s="395" t="s">
        <v>509</v>
      </c>
      <c r="I132" s="395" t="s">
        <v>507</v>
      </c>
      <c r="J132" s="395" t="s">
        <v>507</v>
      </c>
      <c r="K132" s="395" t="s">
        <v>507</v>
      </c>
      <c r="L132" s="395" t="s">
        <v>509</v>
      </c>
      <c r="M132" s="395" t="s">
        <v>509</v>
      </c>
      <c r="N132" s="395" t="s">
        <v>507</v>
      </c>
      <c r="O132" s="395" t="s">
        <v>507</v>
      </c>
      <c r="P132" s="395" t="s">
        <v>507</v>
      </c>
      <c r="Q132" s="395" t="s">
        <v>509</v>
      </c>
      <c r="R132" s="395" t="s">
        <v>507</v>
      </c>
      <c r="S132" s="395" t="s">
        <v>509</v>
      </c>
      <c r="T132" s="395" t="s">
        <v>507</v>
      </c>
      <c r="U132" s="395" t="s">
        <v>507</v>
      </c>
      <c r="V132" s="397">
        <f t="shared" si="12"/>
        <v>12</v>
      </c>
    </row>
    <row r="133" spans="1:22" s="399" customFormat="1" ht="20.25" customHeight="1">
      <c r="A133" s="378">
        <v>17</v>
      </c>
      <c r="B133" s="394" t="s">
        <v>568</v>
      </c>
      <c r="C133" s="395" t="s">
        <v>507</v>
      </c>
      <c r="D133" s="395" t="s">
        <v>509</v>
      </c>
      <c r="E133" s="395" t="s">
        <v>509</v>
      </c>
      <c r="F133" s="395" t="s">
        <v>507</v>
      </c>
      <c r="G133" s="395" t="s">
        <v>509</v>
      </c>
      <c r="H133" s="395" t="s">
        <v>509</v>
      </c>
      <c r="I133" s="395" t="s">
        <v>507</v>
      </c>
      <c r="J133" s="395" t="s">
        <v>507</v>
      </c>
      <c r="K133" s="395" t="s">
        <v>509</v>
      </c>
      <c r="L133" s="395" t="s">
        <v>509</v>
      </c>
      <c r="M133" s="395" t="s">
        <v>507</v>
      </c>
      <c r="N133" s="395" t="s">
        <v>507</v>
      </c>
      <c r="O133" s="395" t="s">
        <v>507</v>
      </c>
      <c r="P133" s="395" t="s">
        <v>507</v>
      </c>
      <c r="Q133" s="395" t="s">
        <v>507</v>
      </c>
      <c r="R133" s="395" t="s">
        <v>507</v>
      </c>
      <c r="S133" s="395" t="s">
        <v>509</v>
      </c>
      <c r="T133" s="395" t="s">
        <v>507</v>
      </c>
      <c r="U133" s="395" t="s">
        <v>507</v>
      </c>
      <c r="V133" s="397">
        <f t="shared" si="12"/>
        <v>12</v>
      </c>
    </row>
    <row r="134" spans="1:22" s="399" customFormat="1" ht="20.25" customHeight="1">
      <c r="A134" s="393">
        <v>18</v>
      </c>
      <c r="B134" s="394" t="s">
        <v>569</v>
      </c>
      <c r="C134" s="395" t="s">
        <v>507</v>
      </c>
      <c r="D134" s="395" t="s">
        <v>509</v>
      </c>
      <c r="E134" s="395" t="s">
        <v>509</v>
      </c>
      <c r="F134" s="395" t="s">
        <v>507</v>
      </c>
      <c r="G134" s="395" t="s">
        <v>507</v>
      </c>
      <c r="H134" s="395" t="s">
        <v>509</v>
      </c>
      <c r="I134" s="396" t="s">
        <v>508</v>
      </c>
      <c r="J134" s="395" t="s">
        <v>507</v>
      </c>
      <c r="K134" s="395" t="s">
        <v>509</v>
      </c>
      <c r="L134" s="395" t="s">
        <v>509</v>
      </c>
      <c r="M134" s="395" t="s">
        <v>509</v>
      </c>
      <c r="N134" s="395" t="s">
        <v>507</v>
      </c>
      <c r="O134" s="395" t="s">
        <v>507</v>
      </c>
      <c r="P134" s="395" t="s">
        <v>507</v>
      </c>
      <c r="Q134" s="395" t="s">
        <v>507</v>
      </c>
      <c r="R134" s="395" t="s">
        <v>507</v>
      </c>
      <c r="S134" s="395" t="s">
        <v>509</v>
      </c>
      <c r="T134" s="395" t="s">
        <v>507</v>
      </c>
      <c r="U134" s="395" t="s">
        <v>507</v>
      </c>
      <c r="V134" s="397">
        <f t="shared" si="12"/>
        <v>11</v>
      </c>
    </row>
    <row r="135" spans="1:22" s="399" customFormat="1" ht="20.25" customHeight="1">
      <c r="A135" s="393">
        <v>19</v>
      </c>
      <c r="B135" s="401" t="s">
        <v>570</v>
      </c>
      <c r="C135" s="395" t="s">
        <v>507</v>
      </c>
      <c r="D135" s="395" t="s">
        <v>509</v>
      </c>
      <c r="E135" s="395" t="s">
        <v>509</v>
      </c>
      <c r="F135" s="392" t="s">
        <v>509</v>
      </c>
      <c r="G135" s="395" t="s">
        <v>507</v>
      </c>
      <c r="H135" s="395" t="s">
        <v>509</v>
      </c>
      <c r="I135" s="396" t="s">
        <v>509</v>
      </c>
      <c r="J135" s="395" t="s">
        <v>507</v>
      </c>
      <c r="K135" s="395" t="s">
        <v>509</v>
      </c>
      <c r="L135" s="395" t="s">
        <v>509</v>
      </c>
      <c r="M135" s="395" t="s">
        <v>507</v>
      </c>
      <c r="N135" s="395" t="s">
        <v>507</v>
      </c>
      <c r="O135" s="395" t="s">
        <v>507</v>
      </c>
      <c r="P135" s="395" t="s">
        <v>507</v>
      </c>
      <c r="Q135" s="395" t="s">
        <v>507</v>
      </c>
      <c r="R135" s="395" t="s">
        <v>507</v>
      </c>
      <c r="S135" s="395" t="s">
        <v>509</v>
      </c>
      <c r="T135" s="395" t="s">
        <v>507</v>
      </c>
      <c r="U135" s="395" t="s">
        <v>507</v>
      </c>
      <c r="V135" s="397">
        <f t="shared" si="12"/>
        <v>11</v>
      </c>
    </row>
    <row r="136" spans="1:22" s="399" customFormat="1" ht="20.25" customHeight="1">
      <c r="A136" s="378">
        <v>20</v>
      </c>
      <c r="B136" s="394" t="s">
        <v>571</v>
      </c>
      <c r="C136" s="395" t="s">
        <v>507</v>
      </c>
      <c r="D136" s="395" t="s">
        <v>509</v>
      </c>
      <c r="E136" s="395" t="s">
        <v>507</v>
      </c>
      <c r="F136" s="395" t="s">
        <v>509</v>
      </c>
      <c r="G136" s="395" t="s">
        <v>509</v>
      </c>
      <c r="H136" s="395" t="s">
        <v>509</v>
      </c>
      <c r="I136" s="396" t="s">
        <v>509</v>
      </c>
      <c r="J136" s="395" t="s">
        <v>507</v>
      </c>
      <c r="K136" s="395" t="s">
        <v>509</v>
      </c>
      <c r="L136" s="395" t="s">
        <v>509</v>
      </c>
      <c r="M136" s="395" t="s">
        <v>507</v>
      </c>
      <c r="N136" s="395" t="s">
        <v>507</v>
      </c>
      <c r="O136" s="395" t="s">
        <v>507</v>
      </c>
      <c r="P136" s="395" t="s">
        <v>507</v>
      </c>
      <c r="Q136" s="395" t="s">
        <v>507</v>
      </c>
      <c r="R136" s="395" t="s">
        <v>507</v>
      </c>
      <c r="S136" s="395" t="s">
        <v>509</v>
      </c>
      <c r="T136" s="395" t="s">
        <v>507</v>
      </c>
      <c r="U136" s="395" t="s">
        <v>507</v>
      </c>
      <c r="V136" s="397">
        <f t="shared" si="12"/>
        <v>11</v>
      </c>
    </row>
    <row r="137" spans="1:22" s="399" customFormat="1" ht="20.25" customHeight="1">
      <c r="A137" s="393">
        <v>21</v>
      </c>
      <c r="B137" s="394" t="s">
        <v>572</v>
      </c>
      <c r="C137" s="395" t="s">
        <v>507</v>
      </c>
      <c r="D137" s="395" t="s">
        <v>509</v>
      </c>
      <c r="E137" s="395" t="s">
        <v>509</v>
      </c>
      <c r="F137" s="392" t="s">
        <v>507</v>
      </c>
      <c r="G137" s="395" t="s">
        <v>509</v>
      </c>
      <c r="H137" s="395" t="s">
        <v>509</v>
      </c>
      <c r="I137" s="396" t="s">
        <v>508</v>
      </c>
      <c r="J137" s="395" t="s">
        <v>507</v>
      </c>
      <c r="K137" s="395" t="s">
        <v>507</v>
      </c>
      <c r="L137" s="395" t="s">
        <v>509</v>
      </c>
      <c r="M137" s="395" t="s">
        <v>509</v>
      </c>
      <c r="N137" s="395" t="s">
        <v>507</v>
      </c>
      <c r="O137" s="395" t="s">
        <v>507</v>
      </c>
      <c r="P137" s="395" t="s">
        <v>507</v>
      </c>
      <c r="Q137" s="395" t="s">
        <v>507</v>
      </c>
      <c r="R137" s="395" t="s">
        <v>507</v>
      </c>
      <c r="S137" s="395" t="s">
        <v>509</v>
      </c>
      <c r="T137" s="392" t="s">
        <v>507</v>
      </c>
      <c r="U137" s="395" t="s">
        <v>507</v>
      </c>
      <c r="V137" s="397">
        <f t="shared" si="12"/>
        <v>11</v>
      </c>
    </row>
    <row r="138" spans="1:22" s="399" customFormat="1" ht="20.25" customHeight="1">
      <c r="A138" s="393">
        <v>22</v>
      </c>
      <c r="B138" s="394" t="s">
        <v>573</v>
      </c>
      <c r="C138" s="395" t="s">
        <v>507</v>
      </c>
      <c r="D138" s="395" t="s">
        <v>509</v>
      </c>
      <c r="E138" s="395" t="s">
        <v>509</v>
      </c>
      <c r="F138" s="395" t="s">
        <v>507</v>
      </c>
      <c r="G138" s="395" t="s">
        <v>507</v>
      </c>
      <c r="H138" s="395" t="s">
        <v>507</v>
      </c>
      <c r="I138" s="396" t="s">
        <v>509</v>
      </c>
      <c r="J138" s="395" t="s">
        <v>507</v>
      </c>
      <c r="K138" s="395" t="s">
        <v>507</v>
      </c>
      <c r="L138" s="395" t="s">
        <v>509</v>
      </c>
      <c r="M138" s="395" t="s">
        <v>509</v>
      </c>
      <c r="N138" s="395" t="s">
        <v>507</v>
      </c>
      <c r="O138" s="395" t="s">
        <v>509</v>
      </c>
      <c r="P138" s="395" t="s">
        <v>507</v>
      </c>
      <c r="Q138" s="395" t="s">
        <v>507</v>
      </c>
      <c r="R138" s="395" t="s">
        <v>507</v>
      </c>
      <c r="S138" s="395" t="s">
        <v>509</v>
      </c>
      <c r="T138" s="395" t="s">
        <v>509</v>
      </c>
      <c r="U138" s="395" t="s">
        <v>507</v>
      </c>
      <c r="V138" s="397">
        <f t="shared" si="12"/>
        <v>11</v>
      </c>
    </row>
    <row r="139" spans="1:22" s="399" customFormat="1" ht="20.25" customHeight="1">
      <c r="A139" s="378">
        <v>23</v>
      </c>
      <c r="B139" s="394" t="s">
        <v>574</v>
      </c>
      <c r="C139" s="395" t="s">
        <v>507</v>
      </c>
      <c r="D139" s="395" t="s">
        <v>509</v>
      </c>
      <c r="E139" s="395" t="s">
        <v>509</v>
      </c>
      <c r="F139" s="392" t="s">
        <v>507</v>
      </c>
      <c r="G139" s="395" t="s">
        <v>509</v>
      </c>
      <c r="H139" s="395" t="s">
        <v>509</v>
      </c>
      <c r="I139" s="392" t="s">
        <v>507</v>
      </c>
      <c r="J139" s="395" t="s">
        <v>507</v>
      </c>
      <c r="K139" s="395" t="s">
        <v>509</v>
      </c>
      <c r="L139" s="395" t="s">
        <v>509</v>
      </c>
      <c r="M139" s="395" t="s">
        <v>509</v>
      </c>
      <c r="N139" s="395" t="s">
        <v>507</v>
      </c>
      <c r="O139" s="395" t="s">
        <v>507</v>
      </c>
      <c r="P139" s="395" t="s">
        <v>507</v>
      </c>
      <c r="Q139" s="395" t="s">
        <v>507</v>
      </c>
      <c r="R139" s="395" t="s">
        <v>507</v>
      </c>
      <c r="S139" s="395" t="s">
        <v>509</v>
      </c>
      <c r="T139" s="395" t="s">
        <v>507</v>
      </c>
      <c r="U139" s="395" t="s">
        <v>507</v>
      </c>
      <c r="V139" s="397">
        <f t="shared" si="12"/>
        <v>11</v>
      </c>
    </row>
    <row r="140" spans="1:22" s="399" customFormat="1" ht="20.25" customHeight="1">
      <c r="A140" s="393">
        <v>24</v>
      </c>
      <c r="B140" s="394" t="s">
        <v>575</v>
      </c>
      <c r="C140" s="395" t="s">
        <v>507</v>
      </c>
      <c r="D140" s="395" t="s">
        <v>509</v>
      </c>
      <c r="E140" s="395" t="s">
        <v>509</v>
      </c>
      <c r="F140" s="392" t="s">
        <v>507</v>
      </c>
      <c r="G140" s="395" t="s">
        <v>509</v>
      </c>
      <c r="H140" s="395" t="s">
        <v>509</v>
      </c>
      <c r="I140" s="395" t="s">
        <v>507</v>
      </c>
      <c r="J140" s="395" t="s">
        <v>507</v>
      </c>
      <c r="K140" s="395" t="s">
        <v>507</v>
      </c>
      <c r="L140" s="395" t="s">
        <v>509</v>
      </c>
      <c r="M140" s="395" t="s">
        <v>507</v>
      </c>
      <c r="N140" s="395" t="s">
        <v>507</v>
      </c>
      <c r="O140" s="395" t="s">
        <v>509</v>
      </c>
      <c r="P140" s="395" t="s">
        <v>507</v>
      </c>
      <c r="Q140" s="395" t="s">
        <v>507</v>
      </c>
      <c r="R140" s="395" t="s">
        <v>507</v>
      </c>
      <c r="S140" s="395" t="s">
        <v>509</v>
      </c>
      <c r="T140" s="395" t="s">
        <v>509</v>
      </c>
      <c r="U140" s="395" t="s">
        <v>507</v>
      </c>
      <c r="V140" s="397">
        <f t="shared" si="12"/>
        <v>11</v>
      </c>
    </row>
    <row r="141" spans="1:22" s="399" customFormat="1" ht="20.25" customHeight="1">
      <c r="A141" s="393">
        <v>25</v>
      </c>
      <c r="B141" s="394" t="s">
        <v>576</v>
      </c>
      <c r="C141" s="395" t="s">
        <v>507</v>
      </c>
      <c r="D141" s="395" t="s">
        <v>509</v>
      </c>
      <c r="E141" s="395" t="s">
        <v>507</v>
      </c>
      <c r="F141" s="392" t="s">
        <v>507</v>
      </c>
      <c r="G141" s="395" t="s">
        <v>509</v>
      </c>
      <c r="H141" s="395" t="s">
        <v>509</v>
      </c>
      <c r="I141" s="396" t="s">
        <v>509</v>
      </c>
      <c r="J141" s="395" t="s">
        <v>507</v>
      </c>
      <c r="K141" s="395" t="s">
        <v>509</v>
      </c>
      <c r="L141" s="395" t="s">
        <v>509</v>
      </c>
      <c r="M141" s="395" t="s">
        <v>509</v>
      </c>
      <c r="N141" s="395" t="s">
        <v>507</v>
      </c>
      <c r="O141" s="395" t="s">
        <v>507</v>
      </c>
      <c r="P141" s="395" t="s">
        <v>507</v>
      </c>
      <c r="Q141" s="395" t="s">
        <v>507</v>
      </c>
      <c r="R141" s="395" t="s">
        <v>507</v>
      </c>
      <c r="S141" s="395" t="s">
        <v>509</v>
      </c>
      <c r="T141" s="395" t="s">
        <v>507</v>
      </c>
      <c r="U141" s="395" t="s">
        <v>507</v>
      </c>
      <c r="V141" s="397">
        <f t="shared" si="12"/>
        <v>11</v>
      </c>
    </row>
    <row r="142" spans="1:22" s="399" customFormat="1" ht="20.25" customHeight="1">
      <c r="A142" s="378">
        <v>26</v>
      </c>
      <c r="B142" s="394" t="s">
        <v>577</v>
      </c>
      <c r="C142" s="395" t="s">
        <v>507</v>
      </c>
      <c r="D142" s="395" t="s">
        <v>509</v>
      </c>
      <c r="E142" s="395" t="s">
        <v>507</v>
      </c>
      <c r="F142" s="395" t="s">
        <v>507</v>
      </c>
      <c r="G142" s="395" t="s">
        <v>507</v>
      </c>
      <c r="H142" s="395" t="s">
        <v>509</v>
      </c>
      <c r="I142" s="396" t="s">
        <v>508</v>
      </c>
      <c r="J142" s="395" t="s">
        <v>507</v>
      </c>
      <c r="K142" s="395" t="s">
        <v>507</v>
      </c>
      <c r="L142" s="395" t="s">
        <v>509</v>
      </c>
      <c r="M142" s="395" t="s">
        <v>509</v>
      </c>
      <c r="N142" s="395" t="s">
        <v>507</v>
      </c>
      <c r="O142" s="395" t="s">
        <v>507</v>
      </c>
      <c r="P142" s="395" t="s">
        <v>507</v>
      </c>
      <c r="Q142" s="395" t="s">
        <v>507</v>
      </c>
      <c r="R142" s="395" t="s">
        <v>507</v>
      </c>
      <c r="S142" s="395" t="s">
        <v>509</v>
      </c>
      <c r="T142" s="395" t="s">
        <v>509</v>
      </c>
      <c r="U142" s="395" t="s">
        <v>509</v>
      </c>
      <c r="V142" s="397">
        <f t="shared" si="12"/>
        <v>11</v>
      </c>
    </row>
    <row r="143" spans="1:22" s="399" customFormat="1" ht="20.25" customHeight="1">
      <c r="A143" s="393">
        <v>27</v>
      </c>
      <c r="B143" s="394" t="s">
        <v>578</v>
      </c>
      <c r="C143" s="395" t="s">
        <v>507</v>
      </c>
      <c r="D143" s="395" t="s">
        <v>509</v>
      </c>
      <c r="E143" s="395" t="s">
        <v>507</v>
      </c>
      <c r="F143" s="395" t="s">
        <v>507</v>
      </c>
      <c r="G143" s="395" t="s">
        <v>507</v>
      </c>
      <c r="H143" s="395" t="s">
        <v>509</v>
      </c>
      <c r="I143" s="396" t="s">
        <v>508</v>
      </c>
      <c r="J143" s="395" t="s">
        <v>507</v>
      </c>
      <c r="K143" s="395" t="s">
        <v>507</v>
      </c>
      <c r="L143" s="395" t="s">
        <v>509</v>
      </c>
      <c r="M143" s="395" t="s">
        <v>509</v>
      </c>
      <c r="N143" s="395" t="s">
        <v>507</v>
      </c>
      <c r="O143" s="395" t="s">
        <v>507</v>
      </c>
      <c r="P143" s="395" t="s">
        <v>507</v>
      </c>
      <c r="Q143" s="395" t="s">
        <v>509</v>
      </c>
      <c r="R143" s="395" t="s">
        <v>507</v>
      </c>
      <c r="S143" s="395" t="s">
        <v>509</v>
      </c>
      <c r="T143" s="395" t="s">
        <v>509</v>
      </c>
      <c r="U143" s="395" t="s">
        <v>507</v>
      </c>
      <c r="V143" s="397">
        <f t="shared" si="12"/>
        <v>11</v>
      </c>
    </row>
    <row r="144" spans="1:22" s="399" customFormat="1" ht="20.25" customHeight="1">
      <c r="A144" s="393">
        <v>28</v>
      </c>
      <c r="B144" s="394" t="s">
        <v>579</v>
      </c>
      <c r="C144" s="395" t="s">
        <v>507</v>
      </c>
      <c r="D144" s="395" t="s">
        <v>509</v>
      </c>
      <c r="E144" s="395" t="s">
        <v>509</v>
      </c>
      <c r="F144" s="395" t="s">
        <v>507</v>
      </c>
      <c r="G144" s="395" t="s">
        <v>509</v>
      </c>
      <c r="H144" s="395" t="s">
        <v>509</v>
      </c>
      <c r="I144" s="396" t="s">
        <v>508</v>
      </c>
      <c r="J144" s="395" t="s">
        <v>507</v>
      </c>
      <c r="K144" s="395" t="s">
        <v>509</v>
      </c>
      <c r="L144" s="395" t="s">
        <v>509</v>
      </c>
      <c r="M144" s="395" t="s">
        <v>507</v>
      </c>
      <c r="N144" s="395" t="s">
        <v>507</v>
      </c>
      <c r="O144" s="395" t="s">
        <v>509</v>
      </c>
      <c r="P144" s="395" t="s">
        <v>507</v>
      </c>
      <c r="Q144" s="395" t="s">
        <v>507</v>
      </c>
      <c r="R144" s="395" t="s">
        <v>507</v>
      </c>
      <c r="S144" s="395" t="s">
        <v>509</v>
      </c>
      <c r="T144" s="395" t="s">
        <v>507</v>
      </c>
      <c r="U144" s="395" t="s">
        <v>507</v>
      </c>
      <c r="V144" s="397">
        <f t="shared" si="12"/>
        <v>10</v>
      </c>
    </row>
    <row r="145" spans="1:22" s="399" customFormat="1" ht="20.25" customHeight="1">
      <c r="A145" s="378">
        <v>29</v>
      </c>
      <c r="B145" s="401" t="s">
        <v>580</v>
      </c>
      <c r="C145" s="395" t="s">
        <v>507</v>
      </c>
      <c r="D145" s="395" t="s">
        <v>509</v>
      </c>
      <c r="E145" s="395" t="s">
        <v>509</v>
      </c>
      <c r="F145" s="392" t="s">
        <v>507</v>
      </c>
      <c r="G145" s="395" t="s">
        <v>509</v>
      </c>
      <c r="H145" s="395" t="s">
        <v>509</v>
      </c>
      <c r="I145" s="396" t="s">
        <v>509</v>
      </c>
      <c r="J145" s="395" t="s">
        <v>507</v>
      </c>
      <c r="K145" s="395" t="s">
        <v>507</v>
      </c>
      <c r="L145" s="395" t="s">
        <v>509</v>
      </c>
      <c r="M145" s="395" t="s">
        <v>509</v>
      </c>
      <c r="N145" s="395" t="s">
        <v>507</v>
      </c>
      <c r="O145" s="395" t="s">
        <v>507</v>
      </c>
      <c r="P145" s="395" t="s">
        <v>507</v>
      </c>
      <c r="Q145" s="395" t="s">
        <v>507</v>
      </c>
      <c r="R145" s="395" t="s">
        <v>509</v>
      </c>
      <c r="S145" s="395" t="s">
        <v>509</v>
      </c>
      <c r="T145" s="395" t="s">
        <v>507</v>
      </c>
      <c r="U145" s="395" t="s">
        <v>507</v>
      </c>
      <c r="V145" s="397">
        <f t="shared" si="12"/>
        <v>10</v>
      </c>
    </row>
    <row r="146" spans="1:22" s="402" customFormat="1" ht="20.25" customHeight="1">
      <c r="A146" s="393">
        <v>30</v>
      </c>
      <c r="B146" s="394" t="s">
        <v>283</v>
      </c>
      <c r="C146" s="395" t="s">
        <v>507</v>
      </c>
      <c r="D146" s="395" t="s">
        <v>509</v>
      </c>
      <c r="E146" s="395" t="s">
        <v>509</v>
      </c>
      <c r="F146" s="392" t="s">
        <v>509</v>
      </c>
      <c r="G146" s="395" t="s">
        <v>507</v>
      </c>
      <c r="H146" s="395" t="s">
        <v>507</v>
      </c>
      <c r="I146" s="396" t="s">
        <v>508</v>
      </c>
      <c r="J146" s="395" t="s">
        <v>507</v>
      </c>
      <c r="K146" s="395" t="s">
        <v>507</v>
      </c>
      <c r="L146" s="395" t="s">
        <v>509</v>
      </c>
      <c r="M146" s="395" t="s">
        <v>509</v>
      </c>
      <c r="N146" s="395" t="s">
        <v>507</v>
      </c>
      <c r="O146" s="395" t="s">
        <v>509</v>
      </c>
      <c r="P146" s="395" t="s">
        <v>507</v>
      </c>
      <c r="Q146" s="395" t="s">
        <v>507</v>
      </c>
      <c r="R146" s="395" t="s">
        <v>507</v>
      </c>
      <c r="S146" s="395" t="s">
        <v>509</v>
      </c>
      <c r="T146" s="395" t="s">
        <v>509</v>
      </c>
      <c r="U146" s="395" t="s">
        <v>507</v>
      </c>
      <c r="V146" s="397">
        <f t="shared" si="12"/>
        <v>10</v>
      </c>
    </row>
    <row r="147" spans="1:22" s="447" customFormat="1" ht="20.25" customHeight="1">
      <c r="A147" s="583" t="s">
        <v>581</v>
      </c>
      <c r="B147" s="583"/>
      <c r="C147" s="441">
        <f>COUNTIF(C148:C153,"Đạt")</f>
        <v>6</v>
      </c>
      <c r="D147" s="441">
        <f t="shared" ref="D147:U147" si="13">COUNTIF(D148:D153,"Đạt")</f>
        <v>4</v>
      </c>
      <c r="E147" s="441">
        <f t="shared" si="13"/>
        <v>6</v>
      </c>
      <c r="F147" s="441">
        <f t="shared" si="13"/>
        <v>4</v>
      </c>
      <c r="G147" s="441">
        <f t="shared" si="13"/>
        <v>4</v>
      </c>
      <c r="H147" s="441">
        <f t="shared" si="13"/>
        <v>4</v>
      </c>
      <c r="I147" s="441">
        <f t="shared" si="13"/>
        <v>3</v>
      </c>
      <c r="J147" s="441">
        <f t="shared" si="13"/>
        <v>6</v>
      </c>
      <c r="K147" s="441">
        <f t="shared" si="13"/>
        <v>5</v>
      </c>
      <c r="L147" s="441">
        <f t="shared" si="13"/>
        <v>4</v>
      </c>
      <c r="M147" s="441">
        <f t="shared" si="13"/>
        <v>6</v>
      </c>
      <c r="N147" s="441">
        <f t="shared" si="13"/>
        <v>6</v>
      </c>
      <c r="O147" s="441">
        <f t="shared" si="13"/>
        <v>4</v>
      </c>
      <c r="P147" s="441">
        <f t="shared" si="13"/>
        <v>6</v>
      </c>
      <c r="Q147" s="441">
        <f t="shared" si="13"/>
        <v>6</v>
      </c>
      <c r="R147" s="441">
        <f t="shared" si="13"/>
        <v>5</v>
      </c>
      <c r="S147" s="441">
        <f t="shared" si="13"/>
        <v>4</v>
      </c>
      <c r="T147" s="441">
        <f t="shared" si="13"/>
        <v>4</v>
      </c>
      <c r="U147" s="441">
        <f t="shared" si="13"/>
        <v>6</v>
      </c>
      <c r="V147" s="442"/>
    </row>
    <row r="148" spans="1:22" ht="20.25" customHeight="1">
      <c r="A148" s="403">
        <v>1</v>
      </c>
      <c r="B148" s="404" t="s">
        <v>252</v>
      </c>
      <c r="C148" s="392" t="s">
        <v>507</v>
      </c>
      <c r="D148" s="392" t="s">
        <v>507</v>
      </c>
      <c r="E148" s="392" t="s">
        <v>507</v>
      </c>
      <c r="F148" s="392" t="s">
        <v>507</v>
      </c>
      <c r="G148" s="392" t="s">
        <v>507</v>
      </c>
      <c r="H148" s="392" t="s">
        <v>507</v>
      </c>
      <c r="I148" s="392" t="s">
        <v>507</v>
      </c>
      <c r="J148" s="392" t="s">
        <v>507</v>
      </c>
      <c r="K148" s="392" t="s">
        <v>507</v>
      </c>
      <c r="L148" s="392" t="s">
        <v>507</v>
      </c>
      <c r="M148" s="392" t="s">
        <v>507</v>
      </c>
      <c r="N148" s="392" t="s">
        <v>507</v>
      </c>
      <c r="O148" s="392" t="s">
        <v>507</v>
      </c>
      <c r="P148" s="392" t="s">
        <v>507</v>
      </c>
      <c r="Q148" s="392" t="s">
        <v>507</v>
      </c>
      <c r="R148" s="392" t="s">
        <v>507</v>
      </c>
      <c r="S148" s="392" t="s">
        <v>507</v>
      </c>
      <c r="T148" s="392" t="s">
        <v>507</v>
      </c>
      <c r="U148" s="392" t="s">
        <v>507</v>
      </c>
      <c r="V148" s="352">
        <f t="shared" ref="V148:V153" si="14">COUNTIF(C148:U148,"Đạt")</f>
        <v>19</v>
      </c>
    </row>
    <row r="149" spans="1:22" ht="20.25" customHeight="1">
      <c r="A149" s="362">
        <v>2</v>
      </c>
      <c r="B149" s="404" t="s">
        <v>250</v>
      </c>
      <c r="C149" s="392" t="s">
        <v>507</v>
      </c>
      <c r="D149" s="392" t="s">
        <v>507</v>
      </c>
      <c r="E149" s="392" t="s">
        <v>507</v>
      </c>
      <c r="F149" s="392" t="s">
        <v>507</v>
      </c>
      <c r="G149" s="392" t="s">
        <v>507</v>
      </c>
      <c r="H149" s="392" t="s">
        <v>507</v>
      </c>
      <c r="I149" s="392" t="s">
        <v>507</v>
      </c>
      <c r="J149" s="392" t="s">
        <v>507</v>
      </c>
      <c r="K149" s="392" t="s">
        <v>507</v>
      </c>
      <c r="L149" s="392" t="s">
        <v>507</v>
      </c>
      <c r="M149" s="392" t="s">
        <v>507</v>
      </c>
      <c r="N149" s="392" t="s">
        <v>507</v>
      </c>
      <c r="O149" s="392" t="s">
        <v>507</v>
      </c>
      <c r="P149" s="392" t="s">
        <v>507</v>
      </c>
      <c r="Q149" s="392" t="s">
        <v>507</v>
      </c>
      <c r="R149" s="392" t="s">
        <v>507</v>
      </c>
      <c r="S149" s="392" t="s">
        <v>507</v>
      </c>
      <c r="T149" s="392" t="s">
        <v>507</v>
      </c>
      <c r="U149" s="392" t="s">
        <v>507</v>
      </c>
      <c r="V149" s="352">
        <f t="shared" si="14"/>
        <v>19</v>
      </c>
    </row>
    <row r="150" spans="1:22" ht="20.25" customHeight="1">
      <c r="A150" s="362">
        <v>3</v>
      </c>
      <c r="B150" s="404" t="s">
        <v>247</v>
      </c>
      <c r="C150" s="392" t="s">
        <v>507</v>
      </c>
      <c r="D150" s="392" t="s">
        <v>507</v>
      </c>
      <c r="E150" s="392" t="s">
        <v>507</v>
      </c>
      <c r="F150" s="392" t="s">
        <v>507</v>
      </c>
      <c r="G150" s="392" t="s">
        <v>507</v>
      </c>
      <c r="H150" s="392" t="s">
        <v>507</v>
      </c>
      <c r="I150" s="392" t="s">
        <v>507</v>
      </c>
      <c r="J150" s="392" t="s">
        <v>507</v>
      </c>
      <c r="K150" s="392" t="s">
        <v>507</v>
      </c>
      <c r="L150" s="392" t="s">
        <v>507</v>
      </c>
      <c r="M150" s="392" t="s">
        <v>507</v>
      </c>
      <c r="N150" s="392" t="s">
        <v>507</v>
      </c>
      <c r="O150" s="392" t="s">
        <v>507</v>
      </c>
      <c r="P150" s="392" t="s">
        <v>507</v>
      </c>
      <c r="Q150" s="392" t="s">
        <v>507</v>
      </c>
      <c r="R150" s="392" t="s">
        <v>507</v>
      </c>
      <c r="S150" s="392" t="s">
        <v>507</v>
      </c>
      <c r="T150" s="392" t="s">
        <v>507</v>
      </c>
      <c r="U150" s="392" t="s">
        <v>507</v>
      </c>
      <c r="V150" s="352">
        <f t="shared" si="14"/>
        <v>19</v>
      </c>
    </row>
    <row r="151" spans="1:22" ht="20.25" customHeight="1">
      <c r="A151" s="403">
        <v>4</v>
      </c>
      <c r="B151" s="404" t="s">
        <v>248</v>
      </c>
      <c r="C151" s="392" t="s">
        <v>507</v>
      </c>
      <c r="D151" s="392" t="s">
        <v>507</v>
      </c>
      <c r="E151" s="392" t="s">
        <v>507</v>
      </c>
      <c r="F151" s="392" t="s">
        <v>507</v>
      </c>
      <c r="G151" s="392" t="s">
        <v>507</v>
      </c>
      <c r="H151" s="392" t="s">
        <v>507</v>
      </c>
      <c r="I151" s="392" t="s">
        <v>508</v>
      </c>
      <c r="J151" s="392" t="s">
        <v>507</v>
      </c>
      <c r="K151" s="392" t="s">
        <v>507</v>
      </c>
      <c r="L151" s="392" t="s">
        <v>507</v>
      </c>
      <c r="M151" s="392" t="s">
        <v>507</v>
      </c>
      <c r="N151" s="392" t="s">
        <v>507</v>
      </c>
      <c r="O151" s="392" t="s">
        <v>507</v>
      </c>
      <c r="P151" s="392" t="s">
        <v>507</v>
      </c>
      <c r="Q151" s="392" t="s">
        <v>507</v>
      </c>
      <c r="R151" s="392" t="s">
        <v>507</v>
      </c>
      <c r="S151" s="392" t="s">
        <v>507</v>
      </c>
      <c r="T151" s="392" t="s">
        <v>507</v>
      </c>
      <c r="U151" s="392" t="s">
        <v>507</v>
      </c>
      <c r="V151" s="352">
        <f t="shared" si="14"/>
        <v>18</v>
      </c>
    </row>
    <row r="152" spans="1:22" ht="20.25" customHeight="1">
      <c r="A152" s="403">
        <v>5</v>
      </c>
      <c r="B152" s="356" t="s">
        <v>251</v>
      </c>
      <c r="C152" s="392" t="s">
        <v>507</v>
      </c>
      <c r="D152" s="392" t="s">
        <v>509</v>
      </c>
      <c r="E152" s="392" t="s">
        <v>507</v>
      </c>
      <c r="F152" s="392" t="s">
        <v>509</v>
      </c>
      <c r="G152" s="392" t="s">
        <v>509</v>
      </c>
      <c r="H152" s="392" t="s">
        <v>509</v>
      </c>
      <c r="I152" s="392" t="s">
        <v>508</v>
      </c>
      <c r="J152" s="392" t="s">
        <v>507</v>
      </c>
      <c r="K152" s="392" t="s">
        <v>507</v>
      </c>
      <c r="L152" s="392" t="s">
        <v>509</v>
      </c>
      <c r="M152" s="392" t="s">
        <v>507</v>
      </c>
      <c r="N152" s="392" t="s">
        <v>507</v>
      </c>
      <c r="O152" s="392" t="s">
        <v>509</v>
      </c>
      <c r="P152" s="392" t="s">
        <v>507</v>
      </c>
      <c r="Q152" s="392" t="s">
        <v>507</v>
      </c>
      <c r="R152" s="392" t="s">
        <v>509</v>
      </c>
      <c r="S152" s="392" t="s">
        <v>509</v>
      </c>
      <c r="T152" s="392" t="s">
        <v>509</v>
      </c>
      <c r="U152" s="392" t="s">
        <v>507</v>
      </c>
      <c r="V152" s="352">
        <f t="shared" si="14"/>
        <v>9</v>
      </c>
    </row>
    <row r="153" spans="1:22" ht="20.25" customHeight="1">
      <c r="A153" s="362">
        <v>6</v>
      </c>
      <c r="B153" s="356" t="s">
        <v>249</v>
      </c>
      <c r="C153" s="392" t="s">
        <v>507</v>
      </c>
      <c r="D153" s="392" t="s">
        <v>509</v>
      </c>
      <c r="E153" s="392" t="s">
        <v>507</v>
      </c>
      <c r="F153" s="392" t="s">
        <v>509</v>
      </c>
      <c r="G153" s="392" t="s">
        <v>509</v>
      </c>
      <c r="H153" s="392" t="s">
        <v>509</v>
      </c>
      <c r="I153" s="392" t="s">
        <v>509</v>
      </c>
      <c r="J153" s="392" t="s">
        <v>507</v>
      </c>
      <c r="K153" s="392" t="s">
        <v>509</v>
      </c>
      <c r="L153" s="392" t="s">
        <v>509</v>
      </c>
      <c r="M153" s="392" t="s">
        <v>507</v>
      </c>
      <c r="N153" s="392" t="s">
        <v>507</v>
      </c>
      <c r="O153" s="392" t="s">
        <v>509</v>
      </c>
      <c r="P153" s="392" t="s">
        <v>507</v>
      </c>
      <c r="Q153" s="392" t="s">
        <v>507</v>
      </c>
      <c r="R153" s="392" t="s">
        <v>507</v>
      </c>
      <c r="S153" s="392" t="s">
        <v>509</v>
      </c>
      <c r="T153" s="392" t="s">
        <v>509</v>
      </c>
      <c r="U153" s="392" t="s">
        <v>507</v>
      </c>
      <c r="V153" s="352">
        <f t="shared" si="14"/>
        <v>9</v>
      </c>
    </row>
    <row r="154" spans="1:22" s="446" customFormat="1" ht="20.25" customHeight="1">
      <c r="A154" s="583" t="s">
        <v>582</v>
      </c>
      <c r="B154" s="583"/>
      <c r="C154" s="441">
        <v>1</v>
      </c>
      <c r="D154" s="441">
        <v>1</v>
      </c>
      <c r="E154" s="441">
        <v>1</v>
      </c>
      <c r="F154" s="441">
        <v>1</v>
      </c>
      <c r="G154" s="441">
        <v>1</v>
      </c>
      <c r="H154" s="441">
        <v>1</v>
      </c>
      <c r="I154" s="441">
        <v>1</v>
      </c>
      <c r="J154" s="441">
        <v>1</v>
      </c>
      <c r="K154" s="441">
        <v>1</v>
      </c>
      <c r="L154" s="441">
        <v>1</v>
      </c>
      <c r="M154" s="441">
        <v>1</v>
      </c>
      <c r="N154" s="441">
        <v>1</v>
      </c>
      <c r="O154" s="441">
        <v>1</v>
      </c>
      <c r="P154" s="441">
        <v>1</v>
      </c>
      <c r="Q154" s="441">
        <v>1</v>
      </c>
      <c r="R154" s="441">
        <v>1</v>
      </c>
      <c r="S154" s="441">
        <v>1</v>
      </c>
      <c r="T154" s="441">
        <v>1</v>
      </c>
      <c r="U154" s="441">
        <v>1</v>
      </c>
      <c r="V154" s="442"/>
    </row>
    <row r="155" spans="1:22" ht="20.25" customHeight="1">
      <c r="A155" s="353">
        <v>1</v>
      </c>
      <c r="B155" s="363" t="s">
        <v>583</v>
      </c>
      <c r="C155" s="405" t="s">
        <v>507</v>
      </c>
      <c r="D155" s="405" t="s">
        <v>507</v>
      </c>
      <c r="E155" s="405" t="s">
        <v>507</v>
      </c>
      <c r="F155" s="405" t="s">
        <v>507</v>
      </c>
      <c r="G155" s="405" t="s">
        <v>507</v>
      </c>
      <c r="H155" s="405" t="s">
        <v>507</v>
      </c>
      <c r="I155" s="405" t="s">
        <v>507</v>
      </c>
      <c r="J155" s="405" t="s">
        <v>507</v>
      </c>
      <c r="K155" s="405" t="s">
        <v>507</v>
      </c>
      <c r="L155" s="405" t="s">
        <v>507</v>
      </c>
      <c r="M155" s="405" t="s">
        <v>507</v>
      </c>
      <c r="N155" s="405" t="s">
        <v>507</v>
      </c>
      <c r="O155" s="405" t="s">
        <v>507</v>
      </c>
      <c r="P155" s="405" t="s">
        <v>507</v>
      </c>
      <c r="Q155" s="405" t="s">
        <v>507</v>
      </c>
      <c r="R155" s="405" t="s">
        <v>507</v>
      </c>
      <c r="S155" s="405" t="s">
        <v>507</v>
      </c>
      <c r="T155" s="405" t="s">
        <v>507</v>
      </c>
      <c r="U155" s="405" t="s">
        <v>507</v>
      </c>
      <c r="V155" s="352">
        <f>COUNTIF(C155:U155,"Đạt")</f>
        <v>19</v>
      </c>
    </row>
    <row r="156" spans="1:22" s="446" customFormat="1" ht="20.25" customHeight="1">
      <c r="A156" s="583" t="s">
        <v>584</v>
      </c>
      <c r="B156" s="583"/>
      <c r="C156" s="441">
        <f>COUNTIF(C157:C183,"Đạt")</f>
        <v>27</v>
      </c>
      <c r="D156" s="441">
        <f t="shared" ref="D156:U156" si="15">COUNTIF(D157:D183,"Đạt")</f>
        <v>12</v>
      </c>
      <c r="E156" s="441">
        <f t="shared" si="15"/>
        <v>26</v>
      </c>
      <c r="F156" s="441">
        <f t="shared" si="15"/>
        <v>24</v>
      </c>
      <c r="G156" s="441">
        <f t="shared" si="15"/>
        <v>19</v>
      </c>
      <c r="H156" s="441">
        <f t="shared" si="15"/>
        <v>16</v>
      </c>
      <c r="I156" s="441">
        <f t="shared" si="15"/>
        <v>6</v>
      </c>
      <c r="J156" s="441">
        <f t="shared" si="15"/>
        <v>27</v>
      </c>
      <c r="K156" s="441">
        <f t="shared" si="15"/>
        <v>23</v>
      </c>
      <c r="L156" s="441">
        <f t="shared" si="15"/>
        <v>19</v>
      </c>
      <c r="M156" s="441">
        <f t="shared" si="15"/>
        <v>25</v>
      </c>
      <c r="N156" s="441">
        <f t="shared" si="15"/>
        <v>27</v>
      </c>
      <c r="O156" s="441">
        <f t="shared" si="15"/>
        <v>23</v>
      </c>
      <c r="P156" s="441">
        <f t="shared" si="15"/>
        <v>27</v>
      </c>
      <c r="Q156" s="441">
        <f t="shared" si="15"/>
        <v>24</v>
      </c>
      <c r="R156" s="441">
        <f t="shared" si="15"/>
        <v>25</v>
      </c>
      <c r="S156" s="441">
        <f t="shared" si="15"/>
        <v>11</v>
      </c>
      <c r="T156" s="441">
        <f t="shared" si="15"/>
        <v>23</v>
      </c>
      <c r="U156" s="441">
        <f t="shared" si="15"/>
        <v>21</v>
      </c>
      <c r="V156" s="442"/>
    </row>
    <row r="157" spans="1:22" ht="20.25" customHeight="1">
      <c r="A157" s="378">
        <v>1</v>
      </c>
      <c r="B157" s="406" t="s">
        <v>362</v>
      </c>
      <c r="C157" s="407" t="s">
        <v>507</v>
      </c>
      <c r="D157" s="407" t="s">
        <v>507</v>
      </c>
      <c r="E157" s="408" t="s">
        <v>507</v>
      </c>
      <c r="F157" s="407" t="s">
        <v>507</v>
      </c>
      <c r="G157" s="408" t="s">
        <v>507</v>
      </c>
      <c r="H157" s="408" t="s">
        <v>507</v>
      </c>
      <c r="I157" s="407" t="s">
        <v>507</v>
      </c>
      <c r="J157" s="407" t="s">
        <v>507</v>
      </c>
      <c r="K157" s="408" t="s">
        <v>507</v>
      </c>
      <c r="L157" s="407" t="s">
        <v>507</v>
      </c>
      <c r="M157" s="407" t="s">
        <v>507</v>
      </c>
      <c r="N157" s="407" t="s">
        <v>507</v>
      </c>
      <c r="O157" s="407" t="s">
        <v>507</v>
      </c>
      <c r="P157" s="407" t="s">
        <v>507</v>
      </c>
      <c r="Q157" s="407" t="s">
        <v>507</v>
      </c>
      <c r="R157" s="407" t="s">
        <v>507</v>
      </c>
      <c r="S157" s="408" t="s">
        <v>507</v>
      </c>
      <c r="T157" s="407" t="s">
        <v>507</v>
      </c>
      <c r="U157" s="407" t="s">
        <v>507</v>
      </c>
      <c r="V157" s="352">
        <f t="shared" ref="V157:V183" si="16">COUNTIF(C157:U157,"Đạt")</f>
        <v>19</v>
      </c>
    </row>
    <row r="158" spans="1:22" ht="20.25" customHeight="1">
      <c r="A158" s="378">
        <v>2</v>
      </c>
      <c r="B158" s="406" t="s">
        <v>349</v>
      </c>
      <c r="C158" s="407" t="s">
        <v>507</v>
      </c>
      <c r="D158" s="407" t="s">
        <v>507</v>
      </c>
      <c r="E158" s="407" t="s">
        <v>507</v>
      </c>
      <c r="F158" s="407" t="s">
        <v>507</v>
      </c>
      <c r="G158" s="407" t="s">
        <v>507</v>
      </c>
      <c r="H158" s="407" t="s">
        <v>507</v>
      </c>
      <c r="I158" s="407" t="s">
        <v>508</v>
      </c>
      <c r="J158" s="407" t="s">
        <v>507</v>
      </c>
      <c r="K158" s="407" t="s">
        <v>507</v>
      </c>
      <c r="L158" s="407" t="s">
        <v>507</v>
      </c>
      <c r="M158" s="407" t="s">
        <v>507</v>
      </c>
      <c r="N158" s="407" t="s">
        <v>507</v>
      </c>
      <c r="O158" s="407" t="s">
        <v>507</v>
      </c>
      <c r="P158" s="407" t="s">
        <v>507</v>
      </c>
      <c r="Q158" s="407" t="s">
        <v>507</v>
      </c>
      <c r="R158" s="407" t="s">
        <v>507</v>
      </c>
      <c r="S158" s="408" t="s">
        <v>507</v>
      </c>
      <c r="T158" s="407" t="s">
        <v>507</v>
      </c>
      <c r="U158" s="407" t="s">
        <v>507</v>
      </c>
      <c r="V158" s="352">
        <f t="shared" si="16"/>
        <v>18</v>
      </c>
    </row>
    <row r="159" spans="1:22" ht="20.25" customHeight="1">
      <c r="A159" s="378">
        <v>3</v>
      </c>
      <c r="B159" s="406" t="s">
        <v>360</v>
      </c>
      <c r="C159" s="407" t="s">
        <v>507</v>
      </c>
      <c r="D159" s="407" t="s">
        <v>507</v>
      </c>
      <c r="E159" s="407" t="s">
        <v>507</v>
      </c>
      <c r="F159" s="407" t="s">
        <v>507</v>
      </c>
      <c r="G159" s="407" t="s">
        <v>507</v>
      </c>
      <c r="H159" s="408" t="s">
        <v>507</v>
      </c>
      <c r="I159" s="407" t="s">
        <v>508</v>
      </c>
      <c r="J159" s="407" t="s">
        <v>507</v>
      </c>
      <c r="K159" s="408" t="s">
        <v>507</v>
      </c>
      <c r="L159" s="407" t="s">
        <v>507</v>
      </c>
      <c r="M159" s="407" t="s">
        <v>507</v>
      </c>
      <c r="N159" s="407" t="s">
        <v>507</v>
      </c>
      <c r="O159" s="407" t="s">
        <v>507</v>
      </c>
      <c r="P159" s="407" t="s">
        <v>507</v>
      </c>
      <c r="Q159" s="407" t="s">
        <v>507</v>
      </c>
      <c r="R159" s="407" t="s">
        <v>507</v>
      </c>
      <c r="S159" s="408" t="s">
        <v>507</v>
      </c>
      <c r="T159" s="408" t="s">
        <v>507</v>
      </c>
      <c r="U159" s="407" t="s">
        <v>507</v>
      </c>
      <c r="V159" s="352">
        <f t="shared" si="16"/>
        <v>18</v>
      </c>
    </row>
    <row r="160" spans="1:22" ht="20.25" customHeight="1">
      <c r="A160" s="378">
        <v>4</v>
      </c>
      <c r="B160" s="406" t="s">
        <v>585</v>
      </c>
      <c r="C160" s="407" t="s">
        <v>507</v>
      </c>
      <c r="D160" s="408" t="s">
        <v>507</v>
      </c>
      <c r="E160" s="408" t="s">
        <v>507</v>
      </c>
      <c r="F160" s="407" t="s">
        <v>507</v>
      </c>
      <c r="G160" s="408" t="s">
        <v>507</v>
      </c>
      <c r="H160" s="407" t="s">
        <v>507</v>
      </c>
      <c r="I160" s="407" t="s">
        <v>508</v>
      </c>
      <c r="J160" s="407" t="s">
        <v>507</v>
      </c>
      <c r="K160" s="408" t="s">
        <v>507</v>
      </c>
      <c r="L160" s="407" t="s">
        <v>507</v>
      </c>
      <c r="M160" s="407" t="s">
        <v>507</v>
      </c>
      <c r="N160" s="407" t="s">
        <v>507</v>
      </c>
      <c r="O160" s="407" t="s">
        <v>507</v>
      </c>
      <c r="P160" s="407" t="s">
        <v>507</v>
      </c>
      <c r="Q160" s="407" t="s">
        <v>507</v>
      </c>
      <c r="R160" s="407" t="s">
        <v>507</v>
      </c>
      <c r="S160" s="408" t="s">
        <v>507</v>
      </c>
      <c r="T160" s="408" t="s">
        <v>507</v>
      </c>
      <c r="U160" s="407" t="s">
        <v>507</v>
      </c>
      <c r="V160" s="352">
        <f t="shared" si="16"/>
        <v>18</v>
      </c>
    </row>
    <row r="161" spans="1:22" ht="20.25" customHeight="1">
      <c r="A161" s="378">
        <v>5</v>
      </c>
      <c r="B161" s="406" t="s">
        <v>361</v>
      </c>
      <c r="C161" s="407" t="s">
        <v>507</v>
      </c>
      <c r="D161" s="408" t="s">
        <v>507</v>
      </c>
      <c r="E161" s="408" t="s">
        <v>507</v>
      </c>
      <c r="F161" s="407" t="s">
        <v>507</v>
      </c>
      <c r="G161" s="408" t="s">
        <v>507</v>
      </c>
      <c r="H161" s="407" t="s">
        <v>507</v>
      </c>
      <c r="I161" s="407" t="s">
        <v>508</v>
      </c>
      <c r="J161" s="407" t="s">
        <v>507</v>
      </c>
      <c r="K161" s="407" t="s">
        <v>507</v>
      </c>
      <c r="L161" s="407" t="s">
        <v>507</v>
      </c>
      <c r="M161" s="407" t="s">
        <v>507</v>
      </c>
      <c r="N161" s="407" t="s">
        <v>507</v>
      </c>
      <c r="O161" s="408" t="s">
        <v>507</v>
      </c>
      <c r="P161" s="407" t="s">
        <v>507</v>
      </c>
      <c r="Q161" s="407" t="s">
        <v>507</v>
      </c>
      <c r="R161" s="407" t="s">
        <v>507</v>
      </c>
      <c r="S161" s="408" t="s">
        <v>507</v>
      </c>
      <c r="T161" s="408" t="s">
        <v>507</v>
      </c>
      <c r="U161" s="407" t="s">
        <v>507</v>
      </c>
      <c r="V161" s="352">
        <f t="shared" si="16"/>
        <v>18</v>
      </c>
    </row>
    <row r="162" spans="1:22" ht="20.25" customHeight="1">
      <c r="A162" s="378">
        <v>6</v>
      </c>
      <c r="B162" s="406" t="s">
        <v>586</v>
      </c>
      <c r="C162" s="407" t="s">
        <v>507</v>
      </c>
      <c r="D162" s="407" t="s">
        <v>507</v>
      </c>
      <c r="E162" s="407" t="s">
        <v>507</v>
      </c>
      <c r="F162" s="407" t="s">
        <v>507</v>
      </c>
      <c r="G162" s="407" t="s">
        <v>509</v>
      </c>
      <c r="H162" s="407" t="s">
        <v>507</v>
      </c>
      <c r="I162" s="407" t="s">
        <v>507</v>
      </c>
      <c r="J162" s="407" t="s">
        <v>507</v>
      </c>
      <c r="K162" s="407" t="s">
        <v>507</v>
      </c>
      <c r="L162" s="407" t="s">
        <v>507</v>
      </c>
      <c r="M162" s="407" t="s">
        <v>507</v>
      </c>
      <c r="N162" s="407" t="s">
        <v>507</v>
      </c>
      <c r="O162" s="407" t="s">
        <v>507</v>
      </c>
      <c r="P162" s="407" t="s">
        <v>507</v>
      </c>
      <c r="Q162" s="407" t="s">
        <v>507</v>
      </c>
      <c r="R162" s="407" t="s">
        <v>507</v>
      </c>
      <c r="S162" s="408" t="s">
        <v>507</v>
      </c>
      <c r="T162" s="407" t="s">
        <v>507</v>
      </c>
      <c r="U162" s="407" t="s">
        <v>507</v>
      </c>
      <c r="V162" s="352">
        <f t="shared" si="16"/>
        <v>18</v>
      </c>
    </row>
    <row r="163" spans="1:22" ht="20.25" customHeight="1">
      <c r="A163" s="378">
        <v>7</v>
      </c>
      <c r="B163" s="406" t="s">
        <v>366</v>
      </c>
      <c r="C163" s="407" t="s">
        <v>507</v>
      </c>
      <c r="D163" s="408" t="s">
        <v>507</v>
      </c>
      <c r="E163" s="407" t="s">
        <v>507</v>
      </c>
      <c r="F163" s="407" t="s">
        <v>507</v>
      </c>
      <c r="G163" s="407" t="s">
        <v>507</v>
      </c>
      <c r="H163" s="408" t="s">
        <v>507</v>
      </c>
      <c r="I163" s="407" t="s">
        <v>508</v>
      </c>
      <c r="J163" s="407" t="s">
        <v>507</v>
      </c>
      <c r="K163" s="407" t="s">
        <v>507</v>
      </c>
      <c r="L163" s="407" t="s">
        <v>507</v>
      </c>
      <c r="M163" s="407" t="s">
        <v>507</v>
      </c>
      <c r="N163" s="407" t="s">
        <v>507</v>
      </c>
      <c r="O163" s="408" t="s">
        <v>507</v>
      </c>
      <c r="P163" s="407" t="s">
        <v>507</v>
      </c>
      <c r="Q163" s="407" t="s">
        <v>507</v>
      </c>
      <c r="R163" s="407" t="s">
        <v>507</v>
      </c>
      <c r="S163" s="408" t="s">
        <v>507</v>
      </c>
      <c r="T163" s="408" t="s">
        <v>507</v>
      </c>
      <c r="U163" s="407" t="s">
        <v>507</v>
      </c>
      <c r="V163" s="352">
        <f t="shared" si="16"/>
        <v>18</v>
      </c>
    </row>
    <row r="164" spans="1:22" ht="20.25" customHeight="1">
      <c r="A164" s="378">
        <v>8</v>
      </c>
      <c r="B164" s="406" t="s">
        <v>372</v>
      </c>
      <c r="C164" s="407" t="s">
        <v>507</v>
      </c>
      <c r="D164" s="407" t="s">
        <v>507</v>
      </c>
      <c r="E164" s="407" t="s">
        <v>507</v>
      </c>
      <c r="F164" s="407" t="s">
        <v>507</v>
      </c>
      <c r="G164" s="408" t="s">
        <v>507</v>
      </c>
      <c r="H164" s="408" t="s">
        <v>507</v>
      </c>
      <c r="I164" s="407" t="s">
        <v>508</v>
      </c>
      <c r="J164" s="407" t="s">
        <v>507</v>
      </c>
      <c r="K164" s="408" t="s">
        <v>507</v>
      </c>
      <c r="L164" s="408" t="s">
        <v>507</v>
      </c>
      <c r="M164" s="408" t="s">
        <v>507</v>
      </c>
      <c r="N164" s="407" t="s">
        <v>507</v>
      </c>
      <c r="O164" s="408" t="s">
        <v>507</v>
      </c>
      <c r="P164" s="407" t="s">
        <v>507</v>
      </c>
      <c r="Q164" s="408" t="s">
        <v>507</v>
      </c>
      <c r="R164" s="408" t="s">
        <v>507</v>
      </c>
      <c r="S164" s="408" t="s">
        <v>507</v>
      </c>
      <c r="T164" s="408" t="s">
        <v>507</v>
      </c>
      <c r="U164" s="407" t="s">
        <v>507</v>
      </c>
      <c r="V164" s="352">
        <f t="shared" si="16"/>
        <v>18</v>
      </c>
    </row>
    <row r="165" spans="1:22" ht="20.25" customHeight="1">
      <c r="A165" s="378">
        <v>9</v>
      </c>
      <c r="B165" s="406" t="s">
        <v>368</v>
      </c>
      <c r="C165" s="407" t="s">
        <v>507</v>
      </c>
      <c r="D165" s="407" t="s">
        <v>507</v>
      </c>
      <c r="E165" s="407" t="s">
        <v>507</v>
      </c>
      <c r="F165" s="407" t="s">
        <v>507</v>
      </c>
      <c r="G165" s="407" t="s">
        <v>507</v>
      </c>
      <c r="H165" s="408" t="s">
        <v>507</v>
      </c>
      <c r="I165" s="407" t="s">
        <v>508</v>
      </c>
      <c r="J165" s="407" t="s">
        <v>507</v>
      </c>
      <c r="K165" s="408" t="s">
        <v>507</v>
      </c>
      <c r="L165" s="407" t="s">
        <v>507</v>
      </c>
      <c r="M165" s="407" t="s">
        <v>507</v>
      </c>
      <c r="N165" s="407" t="s">
        <v>507</v>
      </c>
      <c r="O165" s="407" t="s">
        <v>507</v>
      </c>
      <c r="P165" s="407" t="s">
        <v>507</v>
      </c>
      <c r="Q165" s="407" t="s">
        <v>507</v>
      </c>
      <c r="R165" s="407" t="s">
        <v>507</v>
      </c>
      <c r="S165" s="407" t="s">
        <v>507</v>
      </c>
      <c r="T165" s="407" t="s">
        <v>507</v>
      </c>
      <c r="U165" s="407" t="s">
        <v>507</v>
      </c>
      <c r="V165" s="352">
        <f t="shared" si="16"/>
        <v>18</v>
      </c>
    </row>
    <row r="166" spans="1:22" ht="20.25" customHeight="1">
      <c r="A166" s="378">
        <v>10</v>
      </c>
      <c r="B166" s="406" t="s">
        <v>363</v>
      </c>
      <c r="C166" s="407" t="s">
        <v>507</v>
      </c>
      <c r="D166" s="407" t="s">
        <v>507</v>
      </c>
      <c r="E166" s="407" t="s">
        <v>507</v>
      </c>
      <c r="F166" s="407" t="s">
        <v>507</v>
      </c>
      <c r="G166" s="407" t="s">
        <v>507</v>
      </c>
      <c r="H166" s="408" t="s">
        <v>507</v>
      </c>
      <c r="I166" s="407" t="s">
        <v>508</v>
      </c>
      <c r="J166" s="407" t="s">
        <v>507</v>
      </c>
      <c r="K166" s="408" t="s">
        <v>507</v>
      </c>
      <c r="L166" s="407" t="s">
        <v>507</v>
      </c>
      <c r="M166" s="407" t="s">
        <v>507</v>
      </c>
      <c r="N166" s="407" t="s">
        <v>507</v>
      </c>
      <c r="O166" s="407" t="s">
        <v>507</v>
      </c>
      <c r="P166" s="407" t="s">
        <v>507</v>
      </c>
      <c r="Q166" s="407" t="s">
        <v>507</v>
      </c>
      <c r="R166" s="407" t="s">
        <v>507</v>
      </c>
      <c r="S166" s="407" t="s">
        <v>507</v>
      </c>
      <c r="T166" s="408" t="s">
        <v>507</v>
      </c>
      <c r="U166" s="407" t="s">
        <v>507</v>
      </c>
      <c r="V166" s="352">
        <f t="shared" si="16"/>
        <v>18</v>
      </c>
    </row>
    <row r="167" spans="1:22" ht="20.25" customHeight="1">
      <c r="A167" s="378">
        <v>11</v>
      </c>
      <c r="B167" s="406" t="s">
        <v>374</v>
      </c>
      <c r="C167" s="407" t="s">
        <v>507</v>
      </c>
      <c r="D167" s="407" t="s">
        <v>507</v>
      </c>
      <c r="E167" s="407" t="s">
        <v>507</v>
      </c>
      <c r="F167" s="407" t="s">
        <v>507</v>
      </c>
      <c r="G167" s="408" t="s">
        <v>507</v>
      </c>
      <c r="H167" s="408" t="s">
        <v>507</v>
      </c>
      <c r="I167" s="407" t="s">
        <v>508</v>
      </c>
      <c r="J167" s="407" t="s">
        <v>507</v>
      </c>
      <c r="K167" s="407" t="s">
        <v>507</v>
      </c>
      <c r="L167" s="407" t="s">
        <v>507</v>
      </c>
      <c r="M167" s="407" t="s">
        <v>507</v>
      </c>
      <c r="N167" s="407" t="s">
        <v>507</v>
      </c>
      <c r="O167" s="408" t="s">
        <v>507</v>
      </c>
      <c r="P167" s="407" t="s">
        <v>507</v>
      </c>
      <c r="Q167" s="408" t="s">
        <v>507</v>
      </c>
      <c r="R167" s="407" t="s">
        <v>507</v>
      </c>
      <c r="S167" s="408" t="s">
        <v>507</v>
      </c>
      <c r="T167" s="408" t="s">
        <v>507</v>
      </c>
      <c r="U167" s="407" t="s">
        <v>507</v>
      </c>
      <c r="V167" s="352">
        <f t="shared" si="16"/>
        <v>18</v>
      </c>
    </row>
    <row r="168" spans="1:22" ht="20.25" customHeight="1">
      <c r="A168" s="378">
        <v>12</v>
      </c>
      <c r="B168" s="406" t="s">
        <v>351</v>
      </c>
      <c r="C168" s="407" t="s">
        <v>507</v>
      </c>
      <c r="D168" s="408" t="s">
        <v>509</v>
      </c>
      <c r="E168" s="407" t="s">
        <v>507</v>
      </c>
      <c r="F168" s="407" t="s">
        <v>507</v>
      </c>
      <c r="G168" s="408" t="s">
        <v>507</v>
      </c>
      <c r="H168" s="408" t="s">
        <v>507</v>
      </c>
      <c r="I168" s="407" t="s">
        <v>507</v>
      </c>
      <c r="J168" s="407" t="s">
        <v>507</v>
      </c>
      <c r="K168" s="408" t="s">
        <v>509</v>
      </c>
      <c r="L168" s="408" t="s">
        <v>509</v>
      </c>
      <c r="M168" s="408" t="s">
        <v>507</v>
      </c>
      <c r="N168" s="407" t="s">
        <v>507</v>
      </c>
      <c r="O168" s="408" t="s">
        <v>507</v>
      </c>
      <c r="P168" s="407" t="s">
        <v>507</v>
      </c>
      <c r="Q168" s="407" t="s">
        <v>507</v>
      </c>
      <c r="R168" s="407" t="s">
        <v>507</v>
      </c>
      <c r="S168" s="408" t="s">
        <v>509</v>
      </c>
      <c r="T168" s="408" t="s">
        <v>507</v>
      </c>
      <c r="U168" s="408" t="s">
        <v>507</v>
      </c>
      <c r="V168" s="352">
        <f t="shared" si="16"/>
        <v>15</v>
      </c>
    </row>
    <row r="169" spans="1:22" ht="20.25" customHeight="1">
      <c r="A169" s="378">
        <v>13</v>
      </c>
      <c r="B169" s="406" t="s">
        <v>369</v>
      </c>
      <c r="C169" s="407" t="s">
        <v>507</v>
      </c>
      <c r="D169" s="407" t="s">
        <v>509</v>
      </c>
      <c r="E169" s="407" t="s">
        <v>507</v>
      </c>
      <c r="F169" s="408" t="s">
        <v>507</v>
      </c>
      <c r="G169" s="408" t="s">
        <v>507</v>
      </c>
      <c r="H169" s="408" t="s">
        <v>509</v>
      </c>
      <c r="I169" s="407" t="s">
        <v>508</v>
      </c>
      <c r="J169" s="407" t="s">
        <v>507</v>
      </c>
      <c r="K169" s="408" t="s">
        <v>507</v>
      </c>
      <c r="L169" s="407" t="s">
        <v>507</v>
      </c>
      <c r="M169" s="407" t="s">
        <v>507</v>
      </c>
      <c r="N169" s="407" t="s">
        <v>507</v>
      </c>
      <c r="O169" s="407" t="s">
        <v>507</v>
      </c>
      <c r="P169" s="407" t="s">
        <v>507</v>
      </c>
      <c r="Q169" s="407" t="s">
        <v>507</v>
      </c>
      <c r="R169" s="407" t="s">
        <v>507</v>
      </c>
      <c r="S169" s="408" t="s">
        <v>509</v>
      </c>
      <c r="T169" s="408" t="s">
        <v>507</v>
      </c>
      <c r="U169" s="408" t="s">
        <v>507</v>
      </c>
      <c r="V169" s="352">
        <f t="shared" si="16"/>
        <v>15</v>
      </c>
    </row>
    <row r="170" spans="1:22" ht="20.25" customHeight="1">
      <c r="A170" s="378">
        <v>14</v>
      </c>
      <c r="B170" s="406" t="s">
        <v>353</v>
      </c>
      <c r="C170" s="407" t="s">
        <v>507</v>
      </c>
      <c r="D170" s="408" t="s">
        <v>509</v>
      </c>
      <c r="E170" s="407" t="s">
        <v>507</v>
      </c>
      <c r="F170" s="407" t="s">
        <v>507</v>
      </c>
      <c r="G170" s="408" t="s">
        <v>509</v>
      </c>
      <c r="H170" s="408" t="s">
        <v>507</v>
      </c>
      <c r="I170" s="408" t="s">
        <v>507</v>
      </c>
      <c r="J170" s="407" t="s">
        <v>507</v>
      </c>
      <c r="K170" s="408" t="s">
        <v>507</v>
      </c>
      <c r="L170" s="407" t="s">
        <v>507</v>
      </c>
      <c r="M170" s="407" t="s">
        <v>507</v>
      </c>
      <c r="N170" s="407" t="s">
        <v>507</v>
      </c>
      <c r="O170" s="407" t="s">
        <v>507</v>
      </c>
      <c r="P170" s="407" t="s">
        <v>507</v>
      </c>
      <c r="Q170" s="407" t="s">
        <v>509</v>
      </c>
      <c r="R170" s="408" t="s">
        <v>507</v>
      </c>
      <c r="S170" s="408" t="s">
        <v>509</v>
      </c>
      <c r="T170" s="407" t="s">
        <v>507</v>
      </c>
      <c r="U170" s="407" t="s">
        <v>509</v>
      </c>
      <c r="V170" s="352">
        <f t="shared" si="16"/>
        <v>14</v>
      </c>
    </row>
    <row r="171" spans="1:22" ht="20.25" customHeight="1">
      <c r="A171" s="378">
        <v>15</v>
      </c>
      <c r="B171" s="406" t="s">
        <v>375</v>
      </c>
      <c r="C171" s="407" t="s">
        <v>507</v>
      </c>
      <c r="D171" s="408" t="s">
        <v>507</v>
      </c>
      <c r="E171" s="407" t="s">
        <v>507</v>
      </c>
      <c r="F171" s="407" t="s">
        <v>507</v>
      </c>
      <c r="G171" s="408" t="s">
        <v>509</v>
      </c>
      <c r="H171" s="408" t="s">
        <v>507</v>
      </c>
      <c r="I171" s="407" t="s">
        <v>508</v>
      </c>
      <c r="J171" s="407" t="s">
        <v>507</v>
      </c>
      <c r="K171" s="407" t="s">
        <v>507</v>
      </c>
      <c r="L171" s="407" t="s">
        <v>507</v>
      </c>
      <c r="M171" s="407" t="s">
        <v>509</v>
      </c>
      <c r="N171" s="407" t="s">
        <v>507</v>
      </c>
      <c r="O171" s="408" t="s">
        <v>507</v>
      </c>
      <c r="P171" s="407" t="s">
        <v>507</v>
      </c>
      <c r="Q171" s="407" t="s">
        <v>509</v>
      </c>
      <c r="R171" s="408" t="s">
        <v>507</v>
      </c>
      <c r="S171" s="408" t="s">
        <v>509</v>
      </c>
      <c r="T171" s="408" t="s">
        <v>507</v>
      </c>
      <c r="U171" s="408" t="s">
        <v>507</v>
      </c>
      <c r="V171" s="352">
        <f t="shared" si="16"/>
        <v>14</v>
      </c>
    </row>
    <row r="172" spans="1:22" ht="20.25" customHeight="1">
      <c r="A172" s="378">
        <v>16</v>
      </c>
      <c r="B172" s="406" t="s">
        <v>357</v>
      </c>
      <c r="C172" s="407" t="s">
        <v>507</v>
      </c>
      <c r="D172" s="408" t="s">
        <v>509</v>
      </c>
      <c r="E172" s="408" t="s">
        <v>507</v>
      </c>
      <c r="F172" s="407" t="s">
        <v>507</v>
      </c>
      <c r="G172" s="408" t="s">
        <v>507</v>
      </c>
      <c r="H172" s="408" t="s">
        <v>507</v>
      </c>
      <c r="I172" s="407" t="s">
        <v>508</v>
      </c>
      <c r="J172" s="407" t="s">
        <v>507</v>
      </c>
      <c r="K172" s="409" t="s">
        <v>509</v>
      </c>
      <c r="L172" s="407" t="s">
        <v>507</v>
      </c>
      <c r="M172" s="407" t="s">
        <v>507</v>
      </c>
      <c r="N172" s="407" t="s">
        <v>507</v>
      </c>
      <c r="O172" s="407" t="s">
        <v>507</v>
      </c>
      <c r="P172" s="407" t="s">
        <v>507</v>
      </c>
      <c r="Q172" s="407" t="s">
        <v>507</v>
      </c>
      <c r="R172" s="407" t="s">
        <v>507</v>
      </c>
      <c r="S172" s="408" t="s">
        <v>509</v>
      </c>
      <c r="T172" s="408" t="s">
        <v>509</v>
      </c>
      <c r="U172" s="408" t="s">
        <v>507</v>
      </c>
      <c r="V172" s="352">
        <f t="shared" si="16"/>
        <v>14</v>
      </c>
    </row>
    <row r="173" spans="1:22" ht="20.25" customHeight="1">
      <c r="A173" s="378">
        <v>17</v>
      </c>
      <c r="B173" s="406" t="s">
        <v>587</v>
      </c>
      <c r="C173" s="407" t="s">
        <v>507</v>
      </c>
      <c r="D173" s="408" t="s">
        <v>509</v>
      </c>
      <c r="E173" s="407" t="s">
        <v>507</v>
      </c>
      <c r="F173" s="407" t="s">
        <v>507</v>
      </c>
      <c r="G173" s="407" t="s">
        <v>507</v>
      </c>
      <c r="H173" s="407" t="s">
        <v>509</v>
      </c>
      <c r="I173" s="407" t="s">
        <v>508</v>
      </c>
      <c r="J173" s="407" t="s">
        <v>507</v>
      </c>
      <c r="K173" s="407" t="s">
        <v>507</v>
      </c>
      <c r="L173" s="408" t="s">
        <v>509</v>
      </c>
      <c r="M173" s="407" t="s">
        <v>507</v>
      </c>
      <c r="N173" s="407" t="s">
        <v>507</v>
      </c>
      <c r="O173" s="407" t="s">
        <v>509</v>
      </c>
      <c r="P173" s="407" t="s">
        <v>507</v>
      </c>
      <c r="Q173" s="407" t="s">
        <v>507</v>
      </c>
      <c r="R173" s="407" t="s">
        <v>507</v>
      </c>
      <c r="S173" s="408" t="s">
        <v>509</v>
      </c>
      <c r="T173" s="407" t="s">
        <v>507</v>
      </c>
      <c r="U173" s="408" t="s">
        <v>507</v>
      </c>
      <c r="V173" s="352">
        <f t="shared" si="16"/>
        <v>13</v>
      </c>
    </row>
    <row r="174" spans="1:22" ht="20.25" customHeight="1">
      <c r="A174" s="378">
        <v>18</v>
      </c>
      <c r="B174" s="406" t="s">
        <v>356</v>
      </c>
      <c r="C174" s="407" t="s">
        <v>507</v>
      </c>
      <c r="D174" s="408" t="s">
        <v>509</v>
      </c>
      <c r="E174" s="408" t="s">
        <v>509</v>
      </c>
      <c r="F174" s="407" t="s">
        <v>507</v>
      </c>
      <c r="G174" s="408" t="s">
        <v>507</v>
      </c>
      <c r="H174" s="407" t="s">
        <v>509</v>
      </c>
      <c r="I174" s="408" t="s">
        <v>507</v>
      </c>
      <c r="J174" s="407" t="s">
        <v>507</v>
      </c>
      <c r="K174" s="407" t="s">
        <v>509</v>
      </c>
      <c r="L174" s="407" t="s">
        <v>507</v>
      </c>
      <c r="M174" s="407" t="s">
        <v>507</v>
      </c>
      <c r="N174" s="407" t="s">
        <v>507</v>
      </c>
      <c r="O174" s="407" t="s">
        <v>507</v>
      </c>
      <c r="P174" s="407" t="s">
        <v>507</v>
      </c>
      <c r="Q174" s="408" t="s">
        <v>507</v>
      </c>
      <c r="R174" s="408" t="s">
        <v>507</v>
      </c>
      <c r="S174" s="408" t="s">
        <v>509</v>
      </c>
      <c r="T174" s="408" t="s">
        <v>509</v>
      </c>
      <c r="U174" s="408" t="s">
        <v>507</v>
      </c>
      <c r="V174" s="352">
        <f t="shared" si="16"/>
        <v>13</v>
      </c>
    </row>
    <row r="175" spans="1:22" ht="20.25" customHeight="1">
      <c r="A175" s="378">
        <v>19</v>
      </c>
      <c r="B175" s="406" t="s">
        <v>365</v>
      </c>
      <c r="C175" s="407" t="s">
        <v>507</v>
      </c>
      <c r="D175" s="408" t="s">
        <v>509</v>
      </c>
      <c r="E175" s="407" t="s">
        <v>507</v>
      </c>
      <c r="F175" s="407" t="s">
        <v>507</v>
      </c>
      <c r="G175" s="408" t="s">
        <v>509</v>
      </c>
      <c r="H175" s="408" t="s">
        <v>507</v>
      </c>
      <c r="I175" s="407" t="s">
        <v>508</v>
      </c>
      <c r="J175" s="407" t="s">
        <v>507</v>
      </c>
      <c r="K175" s="408" t="s">
        <v>507</v>
      </c>
      <c r="L175" s="408" t="s">
        <v>509</v>
      </c>
      <c r="M175" s="407" t="s">
        <v>507</v>
      </c>
      <c r="N175" s="407" t="s">
        <v>507</v>
      </c>
      <c r="O175" s="407" t="s">
        <v>507</v>
      </c>
      <c r="P175" s="407" t="s">
        <v>507</v>
      </c>
      <c r="Q175" s="407" t="s">
        <v>507</v>
      </c>
      <c r="R175" s="407" t="s">
        <v>507</v>
      </c>
      <c r="S175" s="408" t="s">
        <v>509</v>
      </c>
      <c r="T175" s="407" t="s">
        <v>507</v>
      </c>
      <c r="U175" s="407" t="s">
        <v>509</v>
      </c>
      <c r="V175" s="352">
        <f t="shared" si="16"/>
        <v>13</v>
      </c>
    </row>
    <row r="176" spans="1:22" ht="20.25" customHeight="1">
      <c r="A176" s="378">
        <v>20</v>
      </c>
      <c r="B176" s="406" t="s">
        <v>370</v>
      </c>
      <c r="C176" s="408" t="s">
        <v>507</v>
      </c>
      <c r="D176" s="407" t="s">
        <v>509</v>
      </c>
      <c r="E176" s="407" t="s">
        <v>507</v>
      </c>
      <c r="F176" s="407" t="s">
        <v>507</v>
      </c>
      <c r="G176" s="407" t="s">
        <v>507</v>
      </c>
      <c r="H176" s="407" t="s">
        <v>509</v>
      </c>
      <c r="I176" s="407" t="s">
        <v>509</v>
      </c>
      <c r="J176" s="407" t="s">
        <v>507</v>
      </c>
      <c r="K176" s="408" t="s">
        <v>507</v>
      </c>
      <c r="L176" s="408" t="s">
        <v>509</v>
      </c>
      <c r="M176" s="408" t="s">
        <v>507</v>
      </c>
      <c r="N176" s="407" t="s">
        <v>507</v>
      </c>
      <c r="O176" s="407" t="s">
        <v>509</v>
      </c>
      <c r="P176" s="407" t="s">
        <v>507</v>
      </c>
      <c r="Q176" s="407" t="s">
        <v>507</v>
      </c>
      <c r="R176" s="408" t="s">
        <v>507</v>
      </c>
      <c r="S176" s="407" t="s">
        <v>509</v>
      </c>
      <c r="T176" s="408" t="s">
        <v>507</v>
      </c>
      <c r="U176" s="407" t="s">
        <v>507</v>
      </c>
      <c r="V176" s="352">
        <f t="shared" si="16"/>
        <v>13</v>
      </c>
    </row>
    <row r="177" spans="1:22" ht="20.25" customHeight="1">
      <c r="A177" s="378">
        <v>21</v>
      </c>
      <c r="B177" s="406" t="s">
        <v>371</v>
      </c>
      <c r="C177" s="407" t="s">
        <v>507</v>
      </c>
      <c r="D177" s="407" t="s">
        <v>509</v>
      </c>
      <c r="E177" s="407" t="s">
        <v>507</v>
      </c>
      <c r="F177" s="407" t="s">
        <v>507</v>
      </c>
      <c r="G177" s="408" t="s">
        <v>507</v>
      </c>
      <c r="H177" s="407" t="s">
        <v>509</v>
      </c>
      <c r="I177" s="407" t="s">
        <v>508</v>
      </c>
      <c r="J177" s="407" t="s">
        <v>507</v>
      </c>
      <c r="K177" s="407" t="s">
        <v>507</v>
      </c>
      <c r="L177" s="408" t="s">
        <v>509</v>
      </c>
      <c r="M177" s="407" t="s">
        <v>507</v>
      </c>
      <c r="N177" s="407" t="s">
        <v>507</v>
      </c>
      <c r="O177" s="408" t="s">
        <v>507</v>
      </c>
      <c r="P177" s="407" t="s">
        <v>507</v>
      </c>
      <c r="Q177" s="407" t="s">
        <v>507</v>
      </c>
      <c r="R177" s="407" t="s">
        <v>507</v>
      </c>
      <c r="S177" s="408" t="s">
        <v>509</v>
      </c>
      <c r="T177" s="408" t="s">
        <v>507</v>
      </c>
      <c r="U177" s="408" t="s">
        <v>509</v>
      </c>
      <c r="V177" s="352">
        <f t="shared" si="16"/>
        <v>13</v>
      </c>
    </row>
    <row r="178" spans="1:22" ht="20.25" customHeight="1">
      <c r="A178" s="378">
        <v>22</v>
      </c>
      <c r="B178" s="406" t="s">
        <v>588</v>
      </c>
      <c r="C178" s="407" t="s">
        <v>507</v>
      </c>
      <c r="D178" s="408" t="s">
        <v>509</v>
      </c>
      <c r="E178" s="407" t="s">
        <v>507</v>
      </c>
      <c r="F178" s="408" t="s">
        <v>509</v>
      </c>
      <c r="G178" s="408" t="s">
        <v>509</v>
      </c>
      <c r="H178" s="408" t="s">
        <v>509</v>
      </c>
      <c r="I178" s="407" t="s">
        <v>507</v>
      </c>
      <c r="J178" s="407" t="s">
        <v>507</v>
      </c>
      <c r="K178" s="407" t="s">
        <v>509</v>
      </c>
      <c r="L178" s="407" t="s">
        <v>507</v>
      </c>
      <c r="M178" s="407" t="s">
        <v>507</v>
      </c>
      <c r="N178" s="407" t="s">
        <v>507</v>
      </c>
      <c r="O178" s="407" t="s">
        <v>507</v>
      </c>
      <c r="P178" s="407" t="s">
        <v>507</v>
      </c>
      <c r="Q178" s="408" t="s">
        <v>507</v>
      </c>
      <c r="R178" s="407" t="s">
        <v>507</v>
      </c>
      <c r="S178" s="408" t="s">
        <v>509</v>
      </c>
      <c r="T178" s="408" t="s">
        <v>509</v>
      </c>
      <c r="U178" s="407" t="s">
        <v>507</v>
      </c>
      <c r="V178" s="352">
        <f t="shared" si="16"/>
        <v>12</v>
      </c>
    </row>
    <row r="179" spans="1:22" ht="20.25" customHeight="1">
      <c r="A179" s="378">
        <v>23</v>
      </c>
      <c r="B179" s="406" t="s">
        <v>355</v>
      </c>
      <c r="C179" s="407" t="s">
        <v>507</v>
      </c>
      <c r="D179" s="408" t="s">
        <v>509</v>
      </c>
      <c r="E179" s="408" t="s">
        <v>507</v>
      </c>
      <c r="F179" s="407" t="s">
        <v>509</v>
      </c>
      <c r="G179" s="392" t="s">
        <v>509</v>
      </c>
      <c r="H179" s="408" t="s">
        <v>509</v>
      </c>
      <c r="I179" s="407" t="s">
        <v>509</v>
      </c>
      <c r="J179" s="407" t="s">
        <v>507</v>
      </c>
      <c r="K179" s="407" t="s">
        <v>507</v>
      </c>
      <c r="L179" s="407" t="s">
        <v>507</v>
      </c>
      <c r="M179" s="407" t="s">
        <v>507</v>
      </c>
      <c r="N179" s="407" t="s">
        <v>507</v>
      </c>
      <c r="O179" s="407" t="s">
        <v>507</v>
      </c>
      <c r="P179" s="407" t="s">
        <v>507</v>
      </c>
      <c r="Q179" s="407" t="s">
        <v>507</v>
      </c>
      <c r="R179" s="407" t="s">
        <v>509</v>
      </c>
      <c r="S179" s="408" t="s">
        <v>509</v>
      </c>
      <c r="T179" s="408" t="s">
        <v>507</v>
      </c>
      <c r="U179" s="408" t="s">
        <v>507</v>
      </c>
      <c r="V179" s="352">
        <f t="shared" si="16"/>
        <v>12</v>
      </c>
    </row>
    <row r="180" spans="1:22" ht="20.25" customHeight="1">
      <c r="A180" s="378">
        <v>24</v>
      </c>
      <c r="B180" s="406" t="s">
        <v>358</v>
      </c>
      <c r="C180" s="408" t="s">
        <v>507</v>
      </c>
      <c r="D180" s="408" t="s">
        <v>509</v>
      </c>
      <c r="E180" s="408" t="s">
        <v>507</v>
      </c>
      <c r="F180" s="407" t="s">
        <v>507</v>
      </c>
      <c r="G180" s="408" t="s">
        <v>509</v>
      </c>
      <c r="H180" s="408" t="s">
        <v>509</v>
      </c>
      <c r="I180" s="407" t="s">
        <v>508</v>
      </c>
      <c r="J180" s="407" t="s">
        <v>507</v>
      </c>
      <c r="K180" s="407" t="s">
        <v>507</v>
      </c>
      <c r="L180" s="407" t="s">
        <v>507</v>
      </c>
      <c r="M180" s="407" t="s">
        <v>507</v>
      </c>
      <c r="N180" s="407" t="s">
        <v>507</v>
      </c>
      <c r="O180" s="407" t="s">
        <v>509</v>
      </c>
      <c r="P180" s="407" t="s">
        <v>507</v>
      </c>
      <c r="Q180" s="407" t="s">
        <v>507</v>
      </c>
      <c r="R180" s="408" t="s">
        <v>507</v>
      </c>
      <c r="S180" s="408" t="s">
        <v>509</v>
      </c>
      <c r="T180" s="408" t="s">
        <v>507</v>
      </c>
      <c r="U180" s="408" t="s">
        <v>509</v>
      </c>
      <c r="V180" s="352">
        <f t="shared" si="16"/>
        <v>12</v>
      </c>
    </row>
    <row r="181" spans="1:22" ht="20.25" customHeight="1">
      <c r="A181" s="378">
        <v>25</v>
      </c>
      <c r="B181" s="406" t="s">
        <v>373</v>
      </c>
      <c r="C181" s="407" t="s">
        <v>507</v>
      </c>
      <c r="D181" s="408" t="s">
        <v>509</v>
      </c>
      <c r="E181" s="408" t="s">
        <v>507</v>
      </c>
      <c r="F181" s="408" t="s">
        <v>507</v>
      </c>
      <c r="G181" s="407" t="s">
        <v>507</v>
      </c>
      <c r="H181" s="407" t="s">
        <v>509</v>
      </c>
      <c r="I181" s="407" t="s">
        <v>508</v>
      </c>
      <c r="J181" s="407" t="s">
        <v>507</v>
      </c>
      <c r="K181" s="408" t="s">
        <v>507</v>
      </c>
      <c r="L181" s="408" t="s">
        <v>509</v>
      </c>
      <c r="M181" s="407" t="s">
        <v>507</v>
      </c>
      <c r="N181" s="407" t="s">
        <v>507</v>
      </c>
      <c r="O181" s="408" t="s">
        <v>507</v>
      </c>
      <c r="P181" s="407" t="s">
        <v>507</v>
      </c>
      <c r="Q181" s="407" t="s">
        <v>507</v>
      </c>
      <c r="R181" s="408" t="s">
        <v>509</v>
      </c>
      <c r="S181" s="408" t="s">
        <v>509</v>
      </c>
      <c r="T181" s="408" t="s">
        <v>507</v>
      </c>
      <c r="U181" s="407" t="s">
        <v>509</v>
      </c>
      <c r="V181" s="352">
        <f t="shared" si="16"/>
        <v>12</v>
      </c>
    </row>
    <row r="182" spans="1:22" ht="20.25" customHeight="1">
      <c r="A182" s="378">
        <v>26</v>
      </c>
      <c r="B182" s="406" t="s">
        <v>364</v>
      </c>
      <c r="C182" s="407" t="s">
        <v>507</v>
      </c>
      <c r="D182" s="407" t="s">
        <v>509</v>
      </c>
      <c r="E182" s="408" t="s">
        <v>507</v>
      </c>
      <c r="F182" s="407" t="s">
        <v>507</v>
      </c>
      <c r="G182" s="407" t="s">
        <v>507</v>
      </c>
      <c r="H182" s="408" t="s">
        <v>509</v>
      </c>
      <c r="I182" s="407" t="s">
        <v>509</v>
      </c>
      <c r="J182" s="407" t="s">
        <v>507</v>
      </c>
      <c r="K182" s="408" t="s">
        <v>507</v>
      </c>
      <c r="L182" s="407" t="s">
        <v>509</v>
      </c>
      <c r="M182" s="407" t="s">
        <v>507</v>
      </c>
      <c r="N182" s="407" t="s">
        <v>507</v>
      </c>
      <c r="O182" s="408" t="s">
        <v>509</v>
      </c>
      <c r="P182" s="407" t="s">
        <v>507</v>
      </c>
      <c r="Q182" s="408" t="s">
        <v>507</v>
      </c>
      <c r="R182" s="408" t="s">
        <v>507</v>
      </c>
      <c r="S182" s="408" t="s">
        <v>509</v>
      </c>
      <c r="T182" s="408" t="s">
        <v>509</v>
      </c>
      <c r="U182" s="407" t="s">
        <v>509</v>
      </c>
      <c r="V182" s="352">
        <f t="shared" si="16"/>
        <v>11</v>
      </c>
    </row>
    <row r="183" spans="1:22" ht="20.25" customHeight="1">
      <c r="A183" s="378">
        <v>27</v>
      </c>
      <c r="B183" s="406" t="s">
        <v>354</v>
      </c>
      <c r="C183" s="407" t="s">
        <v>507</v>
      </c>
      <c r="D183" s="408" t="s">
        <v>509</v>
      </c>
      <c r="E183" s="407" t="s">
        <v>507</v>
      </c>
      <c r="F183" s="407" t="s">
        <v>509</v>
      </c>
      <c r="G183" s="408" t="s">
        <v>509</v>
      </c>
      <c r="H183" s="407" t="s">
        <v>509</v>
      </c>
      <c r="I183" s="407" t="s">
        <v>508</v>
      </c>
      <c r="J183" s="407" t="s">
        <v>507</v>
      </c>
      <c r="K183" s="408" t="s">
        <v>507</v>
      </c>
      <c r="L183" s="408" t="s">
        <v>509</v>
      </c>
      <c r="M183" s="407" t="s">
        <v>509</v>
      </c>
      <c r="N183" s="407" t="s">
        <v>507</v>
      </c>
      <c r="O183" s="408" t="s">
        <v>507</v>
      </c>
      <c r="P183" s="407" t="s">
        <v>507</v>
      </c>
      <c r="Q183" s="408" t="s">
        <v>509</v>
      </c>
      <c r="R183" s="408" t="s">
        <v>507</v>
      </c>
      <c r="S183" s="408" t="s">
        <v>509</v>
      </c>
      <c r="T183" s="408" t="s">
        <v>507</v>
      </c>
      <c r="U183" s="407" t="s">
        <v>507</v>
      </c>
      <c r="V183" s="352">
        <f t="shared" si="16"/>
        <v>10</v>
      </c>
    </row>
    <row r="184" spans="1:22" s="446" customFormat="1" ht="20.25" customHeight="1">
      <c r="A184" s="583" t="s">
        <v>589</v>
      </c>
      <c r="B184" s="583"/>
      <c r="C184" s="441">
        <f>COUNTIF(C185:C201,"Đạt")</f>
        <v>17</v>
      </c>
      <c r="D184" s="441">
        <f t="shared" ref="D184:U184" si="17">COUNTIF(D185:D201,"Đạt")</f>
        <v>10</v>
      </c>
      <c r="E184" s="441">
        <f t="shared" si="17"/>
        <v>13</v>
      </c>
      <c r="F184" s="441">
        <f t="shared" si="17"/>
        <v>17</v>
      </c>
      <c r="G184" s="441">
        <f t="shared" si="17"/>
        <v>10</v>
      </c>
      <c r="H184" s="441">
        <f t="shared" si="17"/>
        <v>9</v>
      </c>
      <c r="I184" s="441">
        <f t="shared" si="17"/>
        <v>5</v>
      </c>
      <c r="J184" s="441">
        <f t="shared" si="17"/>
        <v>17</v>
      </c>
      <c r="K184" s="441">
        <f t="shared" si="17"/>
        <v>17</v>
      </c>
      <c r="L184" s="441">
        <f t="shared" si="17"/>
        <v>11</v>
      </c>
      <c r="M184" s="441">
        <f t="shared" si="17"/>
        <v>10</v>
      </c>
      <c r="N184" s="441">
        <f t="shared" si="17"/>
        <v>17</v>
      </c>
      <c r="O184" s="441">
        <f t="shared" si="17"/>
        <v>10</v>
      </c>
      <c r="P184" s="441">
        <f t="shared" si="17"/>
        <v>17</v>
      </c>
      <c r="Q184" s="441">
        <f t="shared" si="17"/>
        <v>16</v>
      </c>
      <c r="R184" s="441">
        <f t="shared" si="17"/>
        <v>13</v>
      </c>
      <c r="S184" s="441">
        <f t="shared" si="17"/>
        <v>8</v>
      </c>
      <c r="T184" s="441">
        <f t="shared" si="17"/>
        <v>11</v>
      </c>
      <c r="U184" s="441">
        <f t="shared" si="17"/>
        <v>15</v>
      </c>
      <c r="V184" s="442"/>
    </row>
    <row r="185" spans="1:22" ht="20.25" customHeight="1">
      <c r="A185" s="448">
        <v>1</v>
      </c>
      <c r="B185" s="415" t="s">
        <v>334</v>
      </c>
      <c r="C185" s="411" t="s">
        <v>507</v>
      </c>
      <c r="D185" s="411" t="s">
        <v>507</v>
      </c>
      <c r="E185" s="411" t="s">
        <v>507</v>
      </c>
      <c r="F185" s="411" t="s">
        <v>507</v>
      </c>
      <c r="G185" s="411" t="s">
        <v>507</v>
      </c>
      <c r="H185" s="411" t="s">
        <v>507</v>
      </c>
      <c r="I185" s="411" t="s">
        <v>507</v>
      </c>
      <c r="J185" s="411" t="s">
        <v>507</v>
      </c>
      <c r="K185" s="411" t="s">
        <v>507</v>
      </c>
      <c r="L185" s="411" t="s">
        <v>507</v>
      </c>
      <c r="M185" s="412" t="s">
        <v>507</v>
      </c>
      <c r="N185" s="411" t="s">
        <v>507</v>
      </c>
      <c r="O185" s="413" t="s">
        <v>507</v>
      </c>
      <c r="P185" s="413" t="s">
        <v>507</v>
      </c>
      <c r="Q185" s="411" t="s">
        <v>507</v>
      </c>
      <c r="R185" s="411" t="s">
        <v>507</v>
      </c>
      <c r="S185" s="411" t="s">
        <v>507</v>
      </c>
      <c r="T185" s="411" t="s">
        <v>507</v>
      </c>
      <c r="U185" s="411" t="s">
        <v>507</v>
      </c>
      <c r="V185" s="352">
        <f t="shared" ref="V185:V201" si="18">COUNTIF(C185:U185,"Đạt")</f>
        <v>19</v>
      </c>
    </row>
    <row r="186" spans="1:22" ht="20.25" customHeight="1">
      <c r="A186" s="448">
        <v>2</v>
      </c>
      <c r="B186" s="415" t="s">
        <v>335</v>
      </c>
      <c r="C186" s="449" t="s">
        <v>507</v>
      </c>
      <c r="D186" s="449" t="s">
        <v>507</v>
      </c>
      <c r="E186" s="449" t="s">
        <v>507</v>
      </c>
      <c r="F186" s="449" t="s">
        <v>507</v>
      </c>
      <c r="G186" s="449" t="s">
        <v>507</v>
      </c>
      <c r="H186" s="449" t="s">
        <v>507</v>
      </c>
      <c r="I186" s="449" t="s">
        <v>507</v>
      </c>
      <c r="J186" s="449" t="s">
        <v>507</v>
      </c>
      <c r="K186" s="449" t="s">
        <v>507</v>
      </c>
      <c r="L186" s="449" t="s">
        <v>507</v>
      </c>
      <c r="M186" s="449" t="s">
        <v>507</v>
      </c>
      <c r="N186" s="449" t="s">
        <v>507</v>
      </c>
      <c r="O186" s="449" t="s">
        <v>507</v>
      </c>
      <c r="P186" s="449" t="s">
        <v>507</v>
      </c>
      <c r="Q186" s="449" t="s">
        <v>507</v>
      </c>
      <c r="R186" s="449" t="s">
        <v>507</v>
      </c>
      <c r="S186" s="449" t="s">
        <v>507</v>
      </c>
      <c r="T186" s="449" t="s">
        <v>507</v>
      </c>
      <c r="U186" s="449" t="s">
        <v>507</v>
      </c>
      <c r="V186" s="352">
        <f t="shared" si="18"/>
        <v>19</v>
      </c>
    </row>
    <row r="187" spans="1:22" ht="20.25" customHeight="1">
      <c r="A187" s="448">
        <v>3</v>
      </c>
      <c r="B187" s="415" t="s">
        <v>339</v>
      </c>
      <c r="C187" s="411" t="s">
        <v>507</v>
      </c>
      <c r="D187" s="411" t="s">
        <v>507</v>
      </c>
      <c r="E187" s="411" t="s">
        <v>507</v>
      </c>
      <c r="F187" s="411" t="s">
        <v>507</v>
      </c>
      <c r="G187" s="411" t="s">
        <v>507</v>
      </c>
      <c r="H187" s="411" t="s">
        <v>507</v>
      </c>
      <c r="I187" s="411" t="s">
        <v>508</v>
      </c>
      <c r="J187" s="411" t="s">
        <v>507</v>
      </c>
      <c r="K187" s="411" t="s">
        <v>507</v>
      </c>
      <c r="L187" s="411" t="s">
        <v>507</v>
      </c>
      <c r="M187" s="411" t="s">
        <v>507</v>
      </c>
      <c r="N187" s="411" t="s">
        <v>507</v>
      </c>
      <c r="O187" s="411" t="s">
        <v>507</v>
      </c>
      <c r="P187" s="411" t="s">
        <v>507</v>
      </c>
      <c r="Q187" s="411" t="s">
        <v>507</v>
      </c>
      <c r="R187" s="411" t="s">
        <v>507</v>
      </c>
      <c r="S187" s="411" t="s">
        <v>507</v>
      </c>
      <c r="T187" s="411" t="s">
        <v>507</v>
      </c>
      <c r="U187" s="411" t="s">
        <v>507</v>
      </c>
      <c r="V187" s="352">
        <f t="shared" si="18"/>
        <v>18</v>
      </c>
    </row>
    <row r="188" spans="1:22" ht="20.25" customHeight="1">
      <c r="A188" s="448">
        <v>4</v>
      </c>
      <c r="B188" s="415" t="s">
        <v>338</v>
      </c>
      <c r="C188" s="411" t="s">
        <v>507</v>
      </c>
      <c r="D188" s="411" t="s">
        <v>507</v>
      </c>
      <c r="E188" s="411" t="s">
        <v>507</v>
      </c>
      <c r="F188" s="411" t="s">
        <v>507</v>
      </c>
      <c r="G188" s="411" t="s">
        <v>507</v>
      </c>
      <c r="H188" s="411" t="s">
        <v>507</v>
      </c>
      <c r="I188" s="411" t="s">
        <v>508</v>
      </c>
      <c r="J188" s="411" t="s">
        <v>507</v>
      </c>
      <c r="K188" s="411" t="s">
        <v>507</v>
      </c>
      <c r="L188" s="411" t="s">
        <v>507</v>
      </c>
      <c r="M188" s="412" t="s">
        <v>507</v>
      </c>
      <c r="N188" s="411" t="s">
        <v>507</v>
      </c>
      <c r="O188" s="411" t="s">
        <v>507</v>
      </c>
      <c r="P188" s="413" t="s">
        <v>507</v>
      </c>
      <c r="Q188" s="411" t="s">
        <v>507</v>
      </c>
      <c r="R188" s="411" t="s">
        <v>507</v>
      </c>
      <c r="S188" s="411" t="s">
        <v>507</v>
      </c>
      <c r="T188" s="411" t="s">
        <v>507</v>
      </c>
      <c r="U188" s="411" t="s">
        <v>507</v>
      </c>
      <c r="V188" s="352">
        <f t="shared" si="18"/>
        <v>18</v>
      </c>
    </row>
    <row r="189" spans="1:22" ht="20.25" customHeight="1">
      <c r="A189" s="448">
        <v>5</v>
      </c>
      <c r="B189" s="415" t="s">
        <v>331</v>
      </c>
      <c r="C189" s="411" t="s">
        <v>507</v>
      </c>
      <c r="D189" s="411" t="s">
        <v>507</v>
      </c>
      <c r="E189" s="411" t="s">
        <v>507</v>
      </c>
      <c r="F189" s="411" t="s">
        <v>507</v>
      </c>
      <c r="G189" s="411" t="s">
        <v>507</v>
      </c>
      <c r="H189" s="411" t="s">
        <v>507</v>
      </c>
      <c r="I189" s="411" t="s">
        <v>508</v>
      </c>
      <c r="J189" s="411" t="s">
        <v>507</v>
      </c>
      <c r="K189" s="411" t="s">
        <v>507</v>
      </c>
      <c r="L189" s="411" t="s">
        <v>507</v>
      </c>
      <c r="M189" s="412" t="s">
        <v>507</v>
      </c>
      <c r="N189" s="411" t="s">
        <v>507</v>
      </c>
      <c r="O189" s="411" t="s">
        <v>507</v>
      </c>
      <c r="P189" s="411" t="s">
        <v>507</v>
      </c>
      <c r="Q189" s="411" t="s">
        <v>507</v>
      </c>
      <c r="R189" s="411" t="s">
        <v>507</v>
      </c>
      <c r="S189" s="411" t="s">
        <v>507</v>
      </c>
      <c r="T189" s="411" t="s">
        <v>507</v>
      </c>
      <c r="U189" s="411" t="s">
        <v>507</v>
      </c>
      <c r="V189" s="352">
        <f t="shared" si="18"/>
        <v>18</v>
      </c>
    </row>
    <row r="190" spans="1:22" ht="20.25" customHeight="1">
      <c r="A190" s="448">
        <v>6</v>
      </c>
      <c r="B190" s="415" t="s">
        <v>340</v>
      </c>
      <c r="C190" s="414" t="s">
        <v>507</v>
      </c>
      <c r="D190" s="414" t="s">
        <v>507</v>
      </c>
      <c r="E190" s="414" t="s">
        <v>507</v>
      </c>
      <c r="F190" s="414" t="s">
        <v>507</v>
      </c>
      <c r="G190" s="414" t="s">
        <v>507</v>
      </c>
      <c r="H190" s="414" t="s">
        <v>507</v>
      </c>
      <c r="I190" s="414" t="s">
        <v>508</v>
      </c>
      <c r="J190" s="414" t="s">
        <v>507</v>
      </c>
      <c r="K190" s="414" t="s">
        <v>507</v>
      </c>
      <c r="L190" s="414" t="s">
        <v>507</v>
      </c>
      <c r="M190" s="414" t="s">
        <v>507</v>
      </c>
      <c r="N190" s="414" t="s">
        <v>507</v>
      </c>
      <c r="O190" s="414" t="s">
        <v>507</v>
      </c>
      <c r="P190" s="414" t="s">
        <v>507</v>
      </c>
      <c r="Q190" s="414" t="s">
        <v>507</v>
      </c>
      <c r="R190" s="414" t="s">
        <v>507</v>
      </c>
      <c r="S190" s="414" t="s">
        <v>507</v>
      </c>
      <c r="T190" s="414" t="s">
        <v>507</v>
      </c>
      <c r="U190" s="414" t="s">
        <v>507</v>
      </c>
      <c r="V190" s="352">
        <f t="shared" si="18"/>
        <v>18</v>
      </c>
    </row>
    <row r="191" spans="1:22" ht="20.25" customHeight="1">
      <c r="A191" s="448">
        <v>7</v>
      </c>
      <c r="B191" s="415" t="s">
        <v>342</v>
      </c>
      <c r="C191" s="411" t="s">
        <v>507</v>
      </c>
      <c r="D191" s="411" t="s">
        <v>507</v>
      </c>
      <c r="E191" s="411" t="s">
        <v>507</v>
      </c>
      <c r="F191" s="411" t="s">
        <v>507</v>
      </c>
      <c r="G191" s="411" t="s">
        <v>507</v>
      </c>
      <c r="H191" s="411" t="s">
        <v>507</v>
      </c>
      <c r="I191" s="411" t="s">
        <v>508</v>
      </c>
      <c r="J191" s="411" t="s">
        <v>507</v>
      </c>
      <c r="K191" s="411" t="s">
        <v>507</v>
      </c>
      <c r="L191" s="411" t="s">
        <v>507</v>
      </c>
      <c r="M191" s="412" t="s">
        <v>507</v>
      </c>
      <c r="N191" s="411" t="s">
        <v>507</v>
      </c>
      <c r="O191" s="411" t="s">
        <v>507</v>
      </c>
      <c r="P191" s="413" t="s">
        <v>507</v>
      </c>
      <c r="Q191" s="411" t="s">
        <v>507</v>
      </c>
      <c r="R191" s="411" t="s">
        <v>507</v>
      </c>
      <c r="S191" s="411" t="s">
        <v>507</v>
      </c>
      <c r="T191" s="411" t="s">
        <v>507</v>
      </c>
      <c r="U191" s="411" t="s">
        <v>507</v>
      </c>
      <c r="V191" s="352">
        <f t="shared" si="18"/>
        <v>18</v>
      </c>
    </row>
    <row r="192" spans="1:22" ht="20.25" customHeight="1">
      <c r="A192" s="448">
        <v>8</v>
      </c>
      <c r="B192" s="415" t="s">
        <v>344</v>
      </c>
      <c r="C192" s="414" t="s">
        <v>507</v>
      </c>
      <c r="D192" s="414" t="s">
        <v>507</v>
      </c>
      <c r="E192" s="414" t="s">
        <v>507</v>
      </c>
      <c r="F192" s="414" t="s">
        <v>507</v>
      </c>
      <c r="G192" s="414" t="s">
        <v>507</v>
      </c>
      <c r="H192" s="414" t="s">
        <v>507</v>
      </c>
      <c r="I192" s="414" t="s">
        <v>508</v>
      </c>
      <c r="J192" s="414" t="s">
        <v>507</v>
      </c>
      <c r="K192" s="414" t="s">
        <v>507</v>
      </c>
      <c r="L192" s="414" t="s">
        <v>507</v>
      </c>
      <c r="M192" s="414" t="s">
        <v>507</v>
      </c>
      <c r="N192" s="414" t="s">
        <v>507</v>
      </c>
      <c r="O192" s="414" t="s">
        <v>507</v>
      </c>
      <c r="P192" s="414" t="s">
        <v>507</v>
      </c>
      <c r="Q192" s="414" t="s">
        <v>507</v>
      </c>
      <c r="R192" s="414" t="s">
        <v>507</v>
      </c>
      <c r="S192" s="414" t="s">
        <v>507</v>
      </c>
      <c r="T192" s="414" t="s">
        <v>507</v>
      </c>
      <c r="U192" s="414" t="s">
        <v>507</v>
      </c>
      <c r="V192" s="352">
        <f t="shared" si="18"/>
        <v>18</v>
      </c>
    </row>
    <row r="193" spans="1:22" ht="20.25" customHeight="1">
      <c r="A193" s="448">
        <v>9</v>
      </c>
      <c r="B193" s="415" t="s">
        <v>332</v>
      </c>
      <c r="C193" s="411" t="s">
        <v>507</v>
      </c>
      <c r="D193" s="411" t="s">
        <v>509</v>
      </c>
      <c r="E193" s="411" t="s">
        <v>509</v>
      </c>
      <c r="F193" s="411" t="s">
        <v>507</v>
      </c>
      <c r="G193" s="411" t="s">
        <v>507</v>
      </c>
      <c r="H193" s="411" t="s">
        <v>509</v>
      </c>
      <c r="I193" s="411" t="s">
        <v>507</v>
      </c>
      <c r="J193" s="411" t="s">
        <v>507</v>
      </c>
      <c r="K193" s="411" t="s">
        <v>507</v>
      </c>
      <c r="L193" s="411" t="s">
        <v>509</v>
      </c>
      <c r="M193" s="411" t="s">
        <v>509</v>
      </c>
      <c r="N193" s="411" t="s">
        <v>507</v>
      </c>
      <c r="O193" s="411" t="s">
        <v>507</v>
      </c>
      <c r="P193" s="411" t="s">
        <v>507</v>
      </c>
      <c r="Q193" s="411" t="s">
        <v>507</v>
      </c>
      <c r="R193" s="411" t="s">
        <v>507</v>
      </c>
      <c r="S193" s="411" t="s">
        <v>509</v>
      </c>
      <c r="T193" s="411" t="s">
        <v>507</v>
      </c>
      <c r="U193" s="411" t="s">
        <v>507</v>
      </c>
      <c r="V193" s="352">
        <f t="shared" si="18"/>
        <v>13</v>
      </c>
    </row>
    <row r="194" spans="1:22" ht="20.25" customHeight="1">
      <c r="A194" s="448">
        <v>10</v>
      </c>
      <c r="B194" s="415" t="s">
        <v>337</v>
      </c>
      <c r="C194" s="411" t="s">
        <v>507</v>
      </c>
      <c r="D194" s="411" t="s">
        <v>507</v>
      </c>
      <c r="E194" s="411" t="s">
        <v>507</v>
      </c>
      <c r="F194" s="411" t="s">
        <v>507</v>
      </c>
      <c r="G194" s="411" t="s">
        <v>509</v>
      </c>
      <c r="H194" s="411" t="s">
        <v>509</v>
      </c>
      <c r="I194" s="411" t="s">
        <v>509</v>
      </c>
      <c r="J194" s="411" t="s">
        <v>507</v>
      </c>
      <c r="K194" s="411" t="s">
        <v>507</v>
      </c>
      <c r="L194" s="411" t="s">
        <v>507</v>
      </c>
      <c r="M194" s="411" t="s">
        <v>509</v>
      </c>
      <c r="N194" s="411" t="s">
        <v>507</v>
      </c>
      <c r="O194" s="411" t="s">
        <v>507</v>
      </c>
      <c r="P194" s="411" t="s">
        <v>507</v>
      </c>
      <c r="Q194" s="411" t="s">
        <v>507</v>
      </c>
      <c r="R194" s="411" t="s">
        <v>509</v>
      </c>
      <c r="S194" s="411" t="s">
        <v>509</v>
      </c>
      <c r="T194" s="411" t="s">
        <v>509</v>
      </c>
      <c r="U194" s="411" t="s">
        <v>507</v>
      </c>
      <c r="V194" s="352">
        <f t="shared" si="18"/>
        <v>12</v>
      </c>
    </row>
    <row r="195" spans="1:22" ht="20.25" customHeight="1">
      <c r="A195" s="448">
        <v>11</v>
      </c>
      <c r="B195" s="415" t="s">
        <v>330</v>
      </c>
      <c r="C195" s="411" t="s">
        <v>507</v>
      </c>
      <c r="D195" s="411" t="s">
        <v>507</v>
      </c>
      <c r="E195" s="411" t="s">
        <v>509</v>
      </c>
      <c r="F195" s="411" t="s">
        <v>507</v>
      </c>
      <c r="G195" s="411" t="s">
        <v>509</v>
      </c>
      <c r="H195" s="411" t="s">
        <v>509</v>
      </c>
      <c r="I195" s="411" t="s">
        <v>507</v>
      </c>
      <c r="J195" s="411" t="s">
        <v>507</v>
      </c>
      <c r="K195" s="411" t="s">
        <v>507</v>
      </c>
      <c r="L195" s="411" t="s">
        <v>509</v>
      </c>
      <c r="M195" s="411" t="s">
        <v>509</v>
      </c>
      <c r="N195" s="411" t="s">
        <v>507</v>
      </c>
      <c r="O195" s="411" t="s">
        <v>509</v>
      </c>
      <c r="P195" s="411" t="s">
        <v>507</v>
      </c>
      <c r="Q195" s="411" t="s">
        <v>507</v>
      </c>
      <c r="R195" s="411" t="s">
        <v>507</v>
      </c>
      <c r="S195" s="411" t="s">
        <v>509</v>
      </c>
      <c r="T195" s="411" t="s">
        <v>507</v>
      </c>
      <c r="U195" s="411" t="s">
        <v>507</v>
      </c>
      <c r="V195" s="352">
        <f t="shared" si="18"/>
        <v>12</v>
      </c>
    </row>
    <row r="196" spans="1:22" ht="20.25" customHeight="1">
      <c r="A196" s="448">
        <v>12</v>
      </c>
      <c r="B196" s="415" t="s">
        <v>328</v>
      </c>
      <c r="C196" s="411" t="s">
        <v>507</v>
      </c>
      <c r="D196" s="411" t="s">
        <v>509</v>
      </c>
      <c r="E196" s="411" t="s">
        <v>507</v>
      </c>
      <c r="F196" s="411" t="s">
        <v>507</v>
      </c>
      <c r="G196" s="411" t="s">
        <v>507</v>
      </c>
      <c r="H196" s="411" t="s">
        <v>509</v>
      </c>
      <c r="I196" s="411" t="s">
        <v>509</v>
      </c>
      <c r="J196" s="411" t="s">
        <v>507</v>
      </c>
      <c r="K196" s="411" t="s">
        <v>507</v>
      </c>
      <c r="L196" s="411" t="s">
        <v>507</v>
      </c>
      <c r="M196" s="412" t="s">
        <v>509</v>
      </c>
      <c r="N196" s="411" t="s">
        <v>507</v>
      </c>
      <c r="O196" s="411" t="s">
        <v>509</v>
      </c>
      <c r="P196" s="411" t="s">
        <v>507</v>
      </c>
      <c r="Q196" s="411" t="s">
        <v>507</v>
      </c>
      <c r="R196" s="411" t="s">
        <v>509</v>
      </c>
      <c r="S196" s="411" t="s">
        <v>509</v>
      </c>
      <c r="T196" s="411" t="s">
        <v>509</v>
      </c>
      <c r="U196" s="411" t="s">
        <v>507</v>
      </c>
      <c r="V196" s="352">
        <f t="shared" si="18"/>
        <v>11</v>
      </c>
    </row>
    <row r="197" spans="1:22" ht="20.25" customHeight="1">
      <c r="A197" s="448">
        <v>13</v>
      </c>
      <c r="B197" s="415" t="s">
        <v>341</v>
      </c>
      <c r="C197" s="414" t="s">
        <v>507</v>
      </c>
      <c r="D197" s="414" t="s">
        <v>509</v>
      </c>
      <c r="E197" s="414" t="s">
        <v>507</v>
      </c>
      <c r="F197" s="414" t="s">
        <v>507</v>
      </c>
      <c r="G197" s="414" t="s">
        <v>509</v>
      </c>
      <c r="H197" s="414" t="s">
        <v>507</v>
      </c>
      <c r="I197" s="414" t="s">
        <v>508</v>
      </c>
      <c r="J197" s="414" t="s">
        <v>507</v>
      </c>
      <c r="K197" s="414" t="s">
        <v>507</v>
      </c>
      <c r="L197" s="414" t="s">
        <v>509</v>
      </c>
      <c r="M197" s="414" t="s">
        <v>507</v>
      </c>
      <c r="N197" s="414" t="s">
        <v>507</v>
      </c>
      <c r="O197" s="414" t="s">
        <v>509</v>
      </c>
      <c r="P197" s="414" t="s">
        <v>507</v>
      </c>
      <c r="Q197" s="414" t="s">
        <v>507</v>
      </c>
      <c r="R197" s="414" t="s">
        <v>507</v>
      </c>
      <c r="S197" s="414" t="s">
        <v>509</v>
      </c>
      <c r="T197" s="414" t="s">
        <v>509</v>
      </c>
      <c r="U197" s="414" t="s">
        <v>509</v>
      </c>
      <c r="V197" s="352">
        <f t="shared" si="18"/>
        <v>11</v>
      </c>
    </row>
    <row r="198" spans="1:22" ht="20.25" customHeight="1">
      <c r="A198" s="448">
        <v>14</v>
      </c>
      <c r="B198" s="415" t="s">
        <v>343</v>
      </c>
      <c r="C198" s="411" t="s">
        <v>507</v>
      </c>
      <c r="D198" s="411" t="s">
        <v>509</v>
      </c>
      <c r="E198" s="411" t="s">
        <v>509</v>
      </c>
      <c r="F198" s="411" t="s">
        <v>507</v>
      </c>
      <c r="G198" s="411" t="s">
        <v>509</v>
      </c>
      <c r="H198" s="411" t="s">
        <v>509</v>
      </c>
      <c r="I198" s="411" t="s">
        <v>508</v>
      </c>
      <c r="J198" s="411" t="s">
        <v>507</v>
      </c>
      <c r="K198" s="411" t="s">
        <v>507</v>
      </c>
      <c r="L198" s="411" t="s">
        <v>507</v>
      </c>
      <c r="M198" s="411" t="s">
        <v>507</v>
      </c>
      <c r="N198" s="411" t="s">
        <v>507</v>
      </c>
      <c r="O198" s="411" t="s">
        <v>509</v>
      </c>
      <c r="P198" s="413" t="s">
        <v>507</v>
      </c>
      <c r="Q198" s="411" t="s">
        <v>509</v>
      </c>
      <c r="R198" s="411" t="s">
        <v>507</v>
      </c>
      <c r="S198" s="411" t="s">
        <v>509</v>
      </c>
      <c r="T198" s="411" t="s">
        <v>507</v>
      </c>
      <c r="U198" s="411" t="s">
        <v>507</v>
      </c>
      <c r="V198" s="352">
        <f t="shared" si="18"/>
        <v>11</v>
      </c>
    </row>
    <row r="199" spans="1:22" ht="20.25" customHeight="1">
      <c r="A199" s="448">
        <v>15</v>
      </c>
      <c r="B199" s="415" t="s">
        <v>329</v>
      </c>
      <c r="C199" s="414" t="s">
        <v>507</v>
      </c>
      <c r="D199" s="411" t="s">
        <v>509</v>
      </c>
      <c r="E199" s="411" t="s">
        <v>509</v>
      </c>
      <c r="F199" s="414" t="s">
        <v>507</v>
      </c>
      <c r="G199" s="414" t="s">
        <v>509</v>
      </c>
      <c r="H199" s="414" t="s">
        <v>509</v>
      </c>
      <c r="I199" s="414" t="s">
        <v>507</v>
      </c>
      <c r="J199" s="414" t="s">
        <v>507</v>
      </c>
      <c r="K199" s="414" t="s">
        <v>507</v>
      </c>
      <c r="L199" s="414" t="s">
        <v>509</v>
      </c>
      <c r="M199" s="414" t="s">
        <v>509</v>
      </c>
      <c r="N199" s="414" t="s">
        <v>507</v>
      </c>
      <c r="O199" s="414" t="s">
        <v>509</v>
      </c>
      <c r="P199" s="414" t="s">
        <v>507</v>
      </c>
      <c r="Q199" s="414" t="s">
        <v>507</v>
      </c>
      <c r="R199" s="414" t="s">
        <v>507</v>
      </c>
      <c r="S199" s="414" t="s">
        <v>509</v>
      </c>
      <c r="T199" s="414" t="s">
        <v>509</v>
      </c>
      <c r="U199" s="414" t="s">
        <v>509</v>
      </c>
      <c r="V199" s="352">
        <f t="shared" si="18"/>
        <v>9</v>
      </c>
    </row>
    <row r="200" spans="1:22" ht="20.25" customHeight="1">
      <c r="A200" s="448">
        <v>16</v>
      </c>
      <c r="B200" s="415" t="s">
        <v>333</v>
      </c>
      <c r="C200" s="411" t="s">
        <v>507</v>
      </c>
      <c r="D200" s="411" t="s">
        <v>509</v>
      </c>
      <c r="E200" s="411" t="s">
        <v>507</v>
      </c>
      <c r="F200" s="411" t="s">
        <v>507</v>
      </c>
      <c r="G200" s="411" t="s">
        <v>509</v>
      </c>
      <c r="H200" s="411" t="s">
        <v>509</v>
      </c>
      <c r="I200" s="411" t="s">
        <v>509</v>
      </c>
      <c r="J200" s="411" t="s">
        <v>507</v>
      </c>
      <c r="K200" s="411" t="s">
        <v>507</v>
      </c>
      <c r="L200" s="411" t="s">
        <v>509</v>
      </c>
      <c r="M200" s="411" t="s">
        <v>509</v>
      </c>
      <c r="N200" s="411" t="s">
        <v>507</v>
      </c>
      <c r="O200" s="411" t="s">
        <v>509</v>
      </c>
      <c r="P200" s="411" t="s">
        <v>507</v>
      </c>
      <c r="Q200" s="411" t="s">
        <v>507</v>
      </c>
      <c r="R200" s="411" t="s">
        <v>509</v>
      </c>
      <c r="S200" s="411" t="s">
        <v>509</v>
      </c>
      <c r="T200" s="411" t="s">
        <v>509</v>
      </c>
      <c r="U200" s="411" t="s">
        <v>507</v>
      </c>
      <c r="V200" s="352">
        <f t="shared" si="18"/>
        <v>9</v>
      </c>
    </row>
    <row r="201" spans="1:22" ht="20.25" customHeight="1">
      <c r="A201" s="448">
        <v>17</v>
      </c>
      <c r="B201" s="415" t="s">
        <v>336</v>
      </c>
      <c r="C201" s="411" t="s">
        <v>507</v>
      </c>
      <c r="D201" s="411" t="s">
        <v>509</v>
      </c>
      <c r="E201" s="411" t="s">
        <v>507</v>
      </c>
      <c r="F201" s="411" t="s">
        <v>507</v>
      </c>
      <c r="G201" s="411" t="s">
        <v>509</v>
      </c>
      <c r="H201" s="411" t="s">
        <v>509</v>
      </c>
      <c r="I201" s="411" t="s">
        <v>508</v>
      </c>
      <c r="J201" s="411" t="s">
        <v>507</v>
      </c>
      <c r="K201" s="411" t="s">
        <v>507</v>
      </c>
      <c r="L201" s="411" t="s">
        <v>509</v>
      </c>
      <c r="M201" s="411" t="s">
        <v>509</v>
      </c>
      <c r="N201" s="411" t="s">
        <v>507</v>
      </c>
      <c r="O201" s="411" t="s">
        <v>509</v>
      </c>
      <c r="P201" s="411" t="s">
        <v>507</v>
      </c>
      <c r="Q201" s="411" t="s">
        <v>507</v>
      </c>
      <c r="R201" s="411" t="s">
        <v>509</v>
      </c>
      <c r="S201" s="411" t="s">
        <v>509</v>
      </c>
      <c r="T201" s="411" t="s">
        <v>509</v>
      </c>
      <c r="U201" s="411" t="s">
        <v>507</v>
      </c>
      <c r="V201" s="352">
        <f t="shared" si="18"/>
        <v>9</v>
      </c>
    </row>
    <row r="202" spans="1:22" s="446" customFormat="1" ht="20.25" customHeight="1">
      <c r="A202" s="583" t="s">
        <v>590</v>
      </c>
      <c r="B202" s="583"/>
      <c r="C202" s="441">
        <f>COUNTIF(C203:C223,"Đạt")</f>
        <v>21</v>
      </c>
      <c r="D202" s="441">
        <f t="shared" ref="D202:U202" si="19">COUNTIF(D203:D223,"Đạt")</f>
        <v>5</v>
      </c>
      <c r="E202" s="441">
        <f t="shared" si="19"/>
        <v>13</v>
      </c>
      <c r="F202" s="441">
        <f t="shared" si="19"/>
        <v>20</v>
      </c>
      <c r="G202" s="441">
        <f t="shared" si="19"/>
        <v>9</v>
      </c>
      <c r="H202" s="441">
        <f t="shared" si="19"/>
        <v>4</v>
      </c>
      <c r="I202" s="441">
        <f t="shared" si="19"/>
        <v>9</v>
      </c>
      <c r="J202" s="441">
        <f t="shared" si="19"/>
        <v>21</v>
      </c>
      <c r="K202" s="441">
        <f t="shared" si="19"/>
        <v>13</v>
      </c>
      <c r="L202" s="441">
        <f t="shared" si="19"/>
        <v>6</v>
      </c>
      <c r="M202" s="441">
        <f t="shared" si="19"/>
        <v>4</v>
      </c>
      <c r="N202" s="441">
        <f t="shared" si="19"/>
        <v>21</v>
      </c>
      <c r="O202" s="441">
        <f t="shared" si="19"/>
        <v>18</v>
      </c>
      <c r="P202" s="441">
        <f t="shared" si="19"/>
        <v>21</v>
      </c>
      <c r="Q202" s="441">
        <f t="shared" si="19"/>
        <v>18</v>
      </c>
      <c r="R202" s="441">
        <f t="shared" si="19"/>
        <v>8</v>
      </c>
      <c r="S202" s="441">
        <f t="shared" si="19"/>
        <v>4</v>
      </c>
      <c r="T202" s="441">
        <f t="shared" si="19"/>
        <v>10</v>
      </c>
      <c r="U202" s="441">
        <f t="shared" si="19"/>
        <v>20</v>
      </c>
      <c r="V202" s="442"/>
    </row>
    <row r="203" spans="1:22" ht="20.25" customHeight="1">
      <c r="A203" s="362">
        <v>1</v>
      </c>
      <c r="B203" s="416" t="s">
        <v>591</v>
      </c>
      <c r="C203" s="392" t="s">
        <v>507</v>
      </c>
      <c r="D203" s="392" t="s">
        <v>507</v>
      </c>
      <c r="E203" s="392" t="s">
        <v>507</v>
      </c>
      <c r="F203" s="392" t="s">
        <v>507</v>
      </c>
      <c r="G203" s="392" t="s">
        <v>507</v>
      </c>
      <c r="H203" s="392" t="s">
        <v>507</v>
      </c>
      <c r="I203" s="392" t="s">
        <v>507</v>
      </c>
      <c r="J203" s="392" t="s">
        <v>507</v>
      </c>
      <c r="K203" s="392" t="s">
        <v>507</v>
      </c>
      <c r="L203" s="392" t="s">
        <v>507</v>
      </c>
      <c r="M203" s="392" t="s">
        <v>507</v>
      </c>
      <c r="N203" s="392" t="s">
        <v>507</v>
      </c>
      <c r="O203" s="392" t="s">
        <v>507</v>
      </c>
      <c r="P203" s="392" t="s">
        <v>507</v>
      </c>
      <c r="Q203" s="392" t="s">
        <v>507</v>
      </c>
      <c r="R203" s="392" t="s">
        <v>507</v>
      </c>
      <c r="S203" s="392" t="s">
        <v>507</v>
      </c>
      <c r="T203" s="392" t="s">
        <v>507</v>
      </c>
      <c r="U203" s="392" t="s">
        <v>507</v>
      </c>
      <c r="V203" s="352">
        <f t="shared" ref="V203:V223" si="20">COUNTIF(C203:U203,"Đạt")</f>
        <v>19</v>
      </c>
    </row>
    <row r="204" spans="1:22" ht="20.25" customHeight="1">
      <c r="A204" s="362">
        <v>2</v>
      </c>
      <c r="B204" s="416" t="s">
        <v>592</v>
      </c>
      <c r="C204" s="392" t="s">
        <v>507</v>
      </c>
      <c r="D204" s="392" t="s">
        <v>507</v>
      </c>
      <c r="E204" s="392" t="s">
        <v>507</v>
      </c>
      <c r="F204" s="392" t="s">
        <v>507</v>
      </c>
      <c r="G204" s="392" t="s">
        <v>507</v>
      </c>
      <c r="H204" s="392" t="s">
        <v>507</v>
      </c>
      <c r="I204" s="392" t="s">
        <v>508</v>
      </c>
      <c r="J204" s="392" t="s">
        <v>507</v>
      </c>
      <c r="K204" s="392" t="s">
        <v>507</v>
      </c>
      <c r="L204" s="392" t="s">
        <v>507</v>
      </c>
      <c r="M204" s="392" t="s">
        <v>507</v>
      </c>
      <c r="N204" s="392" t="s">
        <v>507</v>
      </c>
      <c r="O204" s="392" t="s">
        <v>507</v>
      </c>
      <c r="P204" s="392" t="s">
        <v>507</v>
      </c>
      <c r="Q204" s="392" t="s">
        <v>507</v>
      </c>
      <c r="R204" s="392" t="s">
        <v>507</v>
      </c>
      <c r="S204" s="392" t="s">
        <v>507</v>
      </c>
      <c r="T204" s="392" t="s">
        <v>507</v>
      </c>
      <c r="U204" s="392" t="s">
        <v>507</v>
      </c>
      <c r="V204" s="352">
        <f t="shared" si="20"/>
        <v>18</v>
      </c>
    </row>
    <row r="205" spans="1:22" ht="20.25" customHeight="1">
      <c r="A205" s="362">
        <v>3</v>
      </c>
      <c r="B205" s="416" t="s">
        <v>593</v>
      </c>
      <c r="C205" s="392" t="s">
        <v>507</v>
      </c>
      <c r="D205" s="392" t="s">
        <v>507</v>
      </c>
      <c r="E205" s="392" t="s">
        <v>507</v>
      </c>
      <c r="F205" s="392" t="s">
        <v>507</v>
      </c>
      <c r="G205" s="392" t="s">
        <v>507</v>
      </c>
      <c r="H205" s="392" t="s">
        <v>507</v>
      </c>
      <c r="I205" s="392" t="s">
        <v>508</v>
      </c>
      <c r="J205" s="392" t="s">
        <v>507</v>
      </c>
      <c r="K205" s="392" t="s">
        <v>507</v>
      </c>
      <c r="L205" s="392" t="s">
        <v>507</v>
      </c>
      <c r="M205" s="392" t="s">
        <v>507</v>
      </c>
      <c r="N205" s="392" t="s">
        <v>507</v>
      </c>
      <c r="O205" s="392" t="s">
        <v>507</v>
      </c>
      <c r="P205" s="392" t="s">
        <v>507</v>
      </c>
      <c r="Q205" s="392" t="s">
        <v>507</v>
      </c>
      <c r="R205" s="392" t="s">
        <v>507</v>
      </c>
      <c r="S205" s="392" t="s">
        <v>507</v>
      </c>
      <c r="T205" s="392" t="s">
        <v>507</v>
      </c>
      <c r="U205" s="392" t="s">
        <v>507</v>
      </c>
      <c r="V205" s="352">
        <f t="shared" si="20"/>
        <v>18</v>
      </c>
    </row>
    <row r="206" spans="1:22" ht="20.25" customHeight="1">
      <c r="A206" s="362">
        <v>4</v>
      </c>
      <c r="B206" s="416" t="s">
        <v>594</v>
      </c>
      <c r="C206" s="392" t="s">
        <v>507</v>
      </c>
      <c r="D206" s="392" t="s">
        <v>507</v>
      </c>
      <c r="E206" s="392" t="s">
        <v>507</v>
      </c>
      <c r="F206" s="392" t="s">
        <v>507</v>
      </c>
      <c r="G206" s="392" t="s">
        <v>507</v>
      </c>
      <c r="H206" s="392" t="s">
        <v>507</v>
      </c>
      <c r="I206" s="392" t="s">
        <v>508</v>
      </c>
      <c r="J206" s="392" t="s">
        <v>507</v>
      </c>
      <c r="K206" s="392" t="s">
        <v>507</v>
      </c>
      <c r="L206" s="392" t="s">
        <v>507</v>
      </c>
      <c r="M206" s="392" t="s">
        <v>507</v>
      </c>
      <c r="N206" s="392" t="s">
        <v>507</v>
      </c>
      <c r="O206" s="392" t="s">
        <v>507</v>
      </c>
      <c r="P206" s="392" t="s">
        <v>507</v>
      </c>
      <c r="Q206" s="392" t="s">
        <v>507</v>
      </c>
      <c r="R206" s="392" t="s">
        <v>507</v>
      </c>
      <c r="S206" s="392" t="s">
        <v>507</v>
      </c>
      <c r="T206" s="392" t="s">
        <v>507</v>
      </c>
      <c r="U206" s="392" t="s">
        <v>507</v>
      </c>
      <c r="V206" s="352">
        <f t="shared" si="20"/>
        <v>18</v>
      </c>
    </row>
    <row r="207" spans="1:22" ht="20.25" customHeight="1">
      <c r="A207" s="362">
        <v>5</v>
      </c>
      <c r="B207" s="416" t="s">
        <v>595</v>
      </c>
      <c r="C207" s="392" t="s">
        <v>507</v>
      </c>
      <c r="D207" s="392" t="s">
        <v>509</v>
      </c>
      <c r="E207" s="392" t="s">
        <v>507</v>
      </c>
      <c r="F207" s="392" t="s">
        <v>507</v>
      </c>
      <c r="G207" s="392" t="s">
        <v>509</v>
      </c>
      <c r="H207" s="392" t="s">
        <v>509</v>
      </c>
      <c r="I207" s="392" t="s">
        <v>507</v>
      </c>
      <c r="J207" s="392" t="s">
        <v>507</v>
      </c>
      <c r="K207" s="392" t="s">
        <v>507</v>
      </c>
      <c r="L207" s="392" t="s">
        <v>507</v>
      </c>
      <c r="M207" s="392" t="s">
        <v>509</v>
      </c>
      <c r="N207" s="392" t="s">
        <v>507</v>
      </c>
      <c r="O207" s="392" t="s">
        <v>507</v>
      </c>
      <c r="P207" s="392" t="s">
        <v>507</v>
      </c>
      <c r="Q207" s="392" t="s">
        <v>507</v>
      </c>
      <c r="R207" s="392" t="s">
        <v>507</v>
      </c>
      <c r="S207" s="392" t="s">
        <v>509</v>
      </c>
      <c r="T207" s="392" t="s">
        <v>507</v>
      </c>
      <c r="U207" s="392" t="s">
        <v>507</v>
      </c>
      <c r="V207" s="352">
        <f t="shared" si="20"/>
        <v>14</v>
      </c>
    </row>
    <row r="208" spans="1:22" ht="20.25" customHeight="1">
      <c r="A208" s="362">
        <v>6</v>
      </c>
      <c r="B208" s="416" t="s">
        <v>426</v>
      </c>
      <c r="C208" s="392" t="s">
        <v>507</v>
      </c>
      <c r="D208" s="392" t="s">
        <v>507</v>
      </c>
      <c r="E208" s="392" t="s">
        <v>507</v>
      </c>
      <c r="F208" s="392" t="s">
        <v>507</v>
      </c>
      <c r="G208" s="392" t="s">
        <v>509</v>
      </c>
      <c r="H208" s="392" t="s">
        <v>509</v>
      </c>
      <c r="I208" s="392" t="s">
        <v>507</v>
      </c>
      <c r="J208" s="392" t="s">
        <v>507</v>
      </c>
      <c r="K208" s="392" t="s">
        <v>507</v>
      </c>
      <c r="L208" s="392" t="s">
        <v>509</v>
      </c>
      <c r="M208" s="392" t="s">
        <v>509</v>
      </c>
      <c r="N208" s="392" t="s">
        <v>507</v>
      </c>
      <c r="O208" s="392" t="s">
        <v>507</v>
      </c>
      <c r="P208" s="392" t="s">
        <v>507</v>
      </c>
      <c r="Q208" s="392" t="s">
        <v>509</v>
      </c>
      <c r="R208" s="392" t="s">
        <v>509</v>
      </c>
      <c r="S208" s="392" t="s">
        <v>509</v>
      </c>
      <c r="T208" s="392" t="s">
        <v>509</v>
      </c>
      <c r="U208" s="392" t="s">
        <v>507</v>
      </c>
      <c r="V208" s="352">
        <f t="shared" si="20"/>
        <v>11</v>
      </c>
    </row>
    <row r="209" spans="1:22" ht="20.25" customHeight="1">
      <c r="A209" s="362">
        <v>7</v>
      </c>
      <c r="B209" s="416" t="s">
        <v>432</v>
      </c>
      <c r="C209" s="392" t="s">
        <v>507</v>
      </c>
      <c r="D209" s="392" t="s">
        <v>509</v>
      </c>
      <c r="E209" s="392" t="s">
        <v>509</v>
      </c>
      <c r="F209" s="392" t="s">
        <v>507</v>
      </c>
      <c r="G209" s="392" t="s">
        <v>507</v>
      </c>
      <c r="H209" s="392" t="s">
        <v>509</v>
      </c>
      <c r="I209" s="392" t="s">
        <v>507</v>
      </c>
      <c r="J209" s="392" t="s">
        <v>507</v>
      </c>
      <c r="K209" s="392" t="s">
        <v>509</v>
      </c>
      <c r="L209" s="392" t="s">
        <v>509</v>
      </c>
      <c r="M209" s="392" t="s">
        <v>509</v>
      </c>
      <c r="N209" s="392" t="s">
        <v>507</v>
      </c>
      <c r="O209" s="392" t="s">
        <v>507</v>
      </c>
      <c r="P209" s="392" t="s">
        <v>507</v>
      </c>
      <c r="Q209" s="392" t="s">
        <v>507</v>
      </c>
      <c r="R209" s="392" t="s">
        <v>596</v>
      </c>
      <c r="S209" s="392" t="s">
        <v>509</v>
      </c>
      <c r="T209" s="392" t="s">
        <v>509</v>
      </c>
      <c r="U209" s="392" t="s">
        <v>507</v>
      </c>
      <c r="V209" s="352">
        <f t="shared" si="20"/>
        <v>11</v>
      </c>
    </row>
    <row r="210" spans="1:22" ht="20.25" customHeight="1">
      <c r="A210" s="362">
        <v>8</v>
      </c>
      <c r="B210" s="416" t="s">
        <v>597</v>
      </c>
      <c r="C210" s="392" t="s">
        <v>507</v>
      </c>
      <c r="D210" s="392" t="s">
        <v>509</v>
      </c>
      <c r="E210" s="392" t="s">
        <v>507</v>
      </c>
      <c r="F210" s="392" t="s">
        <v>507</v>
      </c>
      <c r="G210" s="392" t="s">
        <v>509</v>
      </c>
      <c r="H210" s="392" t="s">
        <v>509</v>
      </c>
      <c r="I210" s="392" t="s">
        <v>509</v>
      </c>
      <c r="J210" s="392" t="s">
        <v>507</v>
      </c>
      <c r="K210" s="392" t="s">
        <v>507</v>
      </c>
      <c r="L210" s="392" t="s">
        <v>509</v>
      </c>
      <c r="M210" s="392" t="s">
        <v>509</v>
      </c>
      <c r="N210" s="392" t="s">
        <v>507</v>
      </c>
      <c r="O210" s="392" t="s">
        <v>507</v>
      </c>
      <c r="P210" s="392" t="s">
        <v>507</v>
      </c>
      <c r="Q210" s="392" t="s">
        <v>507</v>
      </c>
      <c r="R210" s="392" t="s">
        <v>509</v>
      </c>
      <c r="S210" s="392" t="s">
        <v>509</v>
      </c>
      <c r="T210" s="392" t="s">
        <v>509</v>
      </c>
      <c r="U210" s="392" t="s">
        <v>507</v>
      </c>
      <c r="V210" s="352">
        <f t="shared" si="20"/>
        <v>10</v>
      </c>
    </row>
    <row r="211" spans="1:22" ht="20.25" customHeight="1">
      <c r="A211" s="362">
        <v>9</v>
      </c>
      <c r="B211" s="416" t="s">
        <v>423</v>
      </c>
      <c r="C211" s="392" t="s">
        <v>507</v>
      </c>
      <c r="D211" s="392" t="s">
        <v>509</v>
      </c>
      <c r="E211" s="392" t="s">
        <v>507</v>
      </c>
      <c r="F211" s="392" t="s">
        <v>507</v>
      </c>
      <c r="G211" s="392" t="s">
        <v>509</v>
      </c>
      <c r="H211" s="392" t="s">
        <v>509</v>
      </c>
      <c r="I211" s="392" t="s">
        <v>508</v>
      </c>
      <c r="J211" s="392" t="s">
        <v>507</v>
      </c>
      <c r="K211" s="392" t="s">
        <v>507</v>
      </c>
      <c r="L211" s="392" t="s">
        <v>507</v>
      </c>
      <c r="M211" s="392" t="s">
        <v>509</v>
      </c>
      <c r="N211" s="392" t="s">
        <v>507</v>
      </c>
      <c r="O211" s="392" t="s">
        <v>507</v>
      </c>
      <c r="P211" s="392" t="s">
        <v>507</v>
      </c>
      <c r="Q211" s="392" t="s">
        <v>509</v>
      </c>
      <c r="R211" s="392" t="s">
        <v>509</v>
      </c>
      <c r="S211" s="392" t="s">
        <v>509</v>
      </c>
      <c r="T211" s="392" t="s">
        <v>509</v>
      </c>
      <c r="U211" s="392" t="s">
        <v>507</v>
      </c>
      <c r="V211" s="352">
        <f t="shared" si="20"/>
        <v>10</v>
      </c>
    </row>
    <row r="212" spans="1:22" ht="20.25" customHeight="1">
      <c r="A212" s="362">
        <v>10</v>
      </c>
      <c r="B212" s="416" t="s">
        <v>598</v>
      </c>
      <c r="C212" s="392" t="s">
        <v>507</v>
      </c>
      <c r="D212" s="392" t="s">
        <v>509</v>
      </c>
      <c r="E212" s="392" t="s">
        <v>509</v>
      </c>
      <c r="F212" s="392" t="s">
        <v>507</v>
      </c>
      <c r="G212" s="392" t="s">
        <v>509</v>
      </c>
      <c r="H212" s="392" t="s">
        <v>509</v>
      </c>
      <c r="I212" s="392" t="s">
        <v>508</v>
      </c>
      <c r="J212" s="392" t="s">
        <v>507</v>
      </c>
      <c r="K212" s="392" t="s">
        <v>507</v>
      </c>
      <c r="L212" s="392" t="s">
        <v>509</v>
      </c>
      <c r="M212" s="392" t="s">
        <v>509</v>
      </c>
      <c r="N212" s="392" t="s">
        <v>507</v>
      </c>
      <c r="O212" s="392" t="s">
        <v>507</v>
      </c>
      <c r="P212" s="392" t="s">
        <v>507</v>
      </c>
      <c r="Q212" s="392" t="s">
        <v>507</v>
      </c>
      <c r="R212" s="392" t="s">
        <v>509</v>
      </c>
      <c r="S212" s="392" t="s">
        <v>509</v>
      </c>
      <c r="T212" s="392" t="s">
        <v>507</v>
      </c>
      <c r="U212" s="392" t="s">
        <v>507</v>
      </c>
      <c r="V212" s="352">
        <f t="shared" si="20"/>
        <v>10</v>
      </c>
    </row>
    <row r="213" spans="1:22" ht="20.25" customHeight="1">
      <c r="A213" s="362">
        <v>11</v>
      </c>
      <c r="B213" s="416" t="s">
        <v>599</v>
      </c>
      <c r="C213" s="392" t="s">
        <v>507</v>
      </c>
      <c r="D213" s="392" t="s">
        <v>509</v>
      </c>
      <c r="E213" s="392" t="s">
        <v>507</v>
      </c>
      <c r="F213" s="392" t="s">
        <v>507</v>
      </c>
      <c r="G213" s="392" t="s">
        <v>509</v>
      </c>
      <c r="H213" s="392" t="s">
        <v>509</v>
      </c>
      <c r="I213" s="392" t="s">
        <v>507</v>
      </c>
      <c r="J213" s="392" t="s">
        <v>507</v>
      </c>
      <c r="K213" s="392" t="s">
        <v>509</v>
      </c>
      <c r="L213" s="392" t="s">
        <v>509</v>
      </c>
      <c r="M213" s="392" t="s">
        <v>509</v>
      </c>
      <c r="N213" s="392" t="s">
        <v>507</v>
      </c>
      <c r="O213" s="392" t="s">
        <v>507</v>
      </c>
      <c r="P213" s="392" t="s">
        <v>507</v>
      </c>
      <c r="Q213" s="392" t="s">
        <v>507</v>
      </c>
      <c r="R213" s="392" t="s">
        <v>509</v>
      </c>
      <c r="S213" s="392" t="s">
        <v>509</v>
      </c>
      <c r="T213" s="392" t="s">
        <v>509</v>
      </c>
      <c r="U213" s="392" t="s">
        <v>507</v>
      </c>
      <c r="V213" s="352">
        <f t="shared" si="20"/>
        <v>10</v>
      </c>
    </row>
    <row r="214" spans="1:22" ht="20.25" customHeight="1">
      <c r="A214" s="362">
        <v>12</v>
      </c>
      <c r="B214" s="416" t="s">
        <v>436</v>
      </c>
      <c r="C214" s="392" t="s">
        <v>507</v>
      </c>
      <c r="D214" s="392" t="s">
        <v>509</v>
      </c>
      <c r="E214" s="392" t="s">
        <v>507</v>
      </c>
      <c r="F214" s="392" t="s">
        <v>507</v>
      </c>
      <c r="G214" s="392" t="s">
        <v>509</v>
      </c>
      <c r="H214" s="392" t="s">
        <v>509</v>
      </c>
      <c r="I214" s="392" t="s">
        <v>508</v>
      </c>
      <c r="J214" s="392" t="s">
        <v>507</v>
      </c>
      <c r="K214" s="392" t="s">
        <v>509</v>
      </c>
      <c r="L214" s="392" t="s">
        <v>509</v>
      </c>
      <c r="M214" s="392" t="s">
        <v>509</v>
      </c>
      <c r="N214" s="392" t="s">
        <v>507</v>
      </c>
      <c r="O214" s="392" t="s">
        <v>507</v>
      </c>
      <c r="P214" s="392" t="s">
        <v>507</v>
      </c>
      <c r="Q214" s="392" t="s">
        <v>507</v>
      </c>
      <c r="R214" s="392" t="s">
        <v>509</v>
      </c>
      <c r="S214" s="392" t="s">
        <v>509</v>
      </c>
      <c r="T214" s="392" t="s">
        <v>507</v>
      </c>
      <c r="U214" s="392" t="s">
        <v>507</v>
      </c>
      <c r="V214" s="352">
        <f t="shared" si="20"/>
        <v>10</v>
      </c>
    </row>
    <row r="215" spans="1:22" ht="20.25" customHeight="1">
      <c r="A215" s="362">
        <v>13</v>
      </c>
      <c r="B215" s="416" t="s">
        <v>600</v>
      </c>
      <c r="C215" s="392" t="s">
        <v>507</v>
      </c>
      <c r="D215" s="392" t="s">
        <v>509</v>
      </c>
      <c r="E215" s="392" t="s">
        <v>509</v>
      </c>
      <c r="F215" s="392" t="s">
        <v>509</v>
      </c>
      <c r="G215" s="392" t="s">
        <v>507</v>
      </c>
      <c r="H215" s="392" t="s">
        <v>509</v>
      </c>
      <c r="I215" s="392" t="s">
        <v>507</v>
      </c>
      <c r="J215" s="392" t="s">
        <v>507</v>
      </c>
      <c r="K215" s="392" t="s">
        <v>509</v>
      </c>
      <c r="L215" s="392" t="s">
        <v>509</v>
      </c>
      <c r="M215" s="392" t="s">
        <v>509</v>
      </c>
      <c r="N215" s="392" t="s">
        <v>507</v>
      </c>
      <c r="O215" s="392" t="s">
        <v>507</v>
      </c>
      <c r="P215" s="392" t="s">
        <v>507</v>
      </c>
      <c r="Q215" s="392" t="s">
        <v>507</v>
      </c>
      <c r="R215" s="392" t="s">
        <v>509</v>
      </c>
      <c r="S215" s="392" t="s">
        <v>509</v>
      </c>
      <c r="T215" s="392" t="s">
        <v>507</v>
      </c>
      <c r="U215" s="392" t="s">
        <v>507</v>
      </c>
      <c r="V215" s="352">
        <f t="shared" si="20"/>
        <v>10</v>
      </c>
    </row>
    <row r="216" spans="1:22" ht="20.25" customHeight="1">
      <c r="A216" s="362">
        <v>14</v>
      </c>
      <c r="B216" s="416" t="s">
        <v>601</v>
      </c>
      <c r="C216" s="392" t="s">
        <v>507</v>
      </c>
      <c r="D216" s="392" t="s">
        <v>509</v>
      </c>
      <c r="E216" s="392" t="s">
        <v>507</v>
      </c>
      <c r="F216" s="392" t="s">
        <v>507</v>
      </c>
      <c r="G216" s="392" t="s">
        <v>507</v>
      </c>
      <c r="H216" s="392" t="s">
        <v>509</v>
      </c>
      <c r="I216" s="392" t="s">
        <v>508</v>
      </c>
      <c r="J216" s="392" t="s">
        <v>507</v>
      </c>
      <c r="K216" s="392" t="s">
        <v>509</v>
      </c>
      <c r="L216" s="392" t="s">
        <v>509</v>
      </c>
      <c r="M216" s="392" t="s">
        <v>509</v>
      </c>
      <c r="N216" s="392" t="s">
        <v>507</v>
      </c>
      <c r="O216" s="392" t="s">
        <v>507</v>
      </c>
      <c r="P216" s="392" t="s">
        <v>507</v>
      </c>
      <c r="Q216" s="392" t="s">
        <v>507</v>
      </c>
      <c r="R216" s="392" t="s">
        <v>509</v>
      </c>
      <c r="S216" s="392" t="s">
        <v>509</v>
      </c>
      <c r="T216" s="392" t="s">
        <v>509</v>
      </c>
      <c r="U216" s="392" t="s">
        <v>507</v>
      </c>
      <c r="V216" s="352">
        <f t="shared" si="20"/>
        <v>10</v>
      </c>
    </row>
    <row r="217" spans="1:22" ht="20.25" customHeight="1">
      <c r="A217" s="362">
        <v>15</v>
      </c>
      <c r="B217" s="416" t="s">
        <v>602</v>
      </c>
      <c r="C217" s="392" t="s">
        <v>507</v>
      </c>
      <c r="D217" s="392" t="s">
        <v>509</v>
      </c>
      <c r="E217" s="392" t="s">
        <v>509</v>
      </c>
      <c r="F217" s="392" t="s">
        <v>507</v>
      </c>
      <c r="G217" s="392" t="s">
        <v>509</v>
      </c>
      <c r="H217" s="392" t="s">
        <v>509</v>
      </c>
      <c r="I217" s="392" t="s">
        <v>508</v>
      </c>
      <c r="J217" s="392" t="s">
        <v>507</v>
      </c>
      <c r="K217" s="392" t="s">
        <v>507</v>
      </c>
      <c r="L217" s="392" t="s">
        <v>509</v>
      </c>
      <c r="M217" s="392" t="s">
        <v>509</v>
      </c>
      <c r="N217" s="392" t="s">
        <v>507</v>
      </c>
      <c r="O217" s="392" t="s">
        <v>509</v>
      </c>
      <c r="P217" s="392" t="s">
        <v>507</v>
      </c>
      <c r="Q217" s="392" t="s">
        <v>507</v>
      </c>
      <c r="R217" s="392" t="s">
        <v>507</v>
      </c>
      <c r="S217" s="392" t="s">
        <v>509</v>
      </c>
      <c r="T217" s="392" t="s">
        <v>507</v>
      </c>
      <c r="U217" s="392" t="s">
        <v>507</v>
      </c>
      <c r="V217" s="352">
        <f t="shared" si="20"/>
        <v>10</v>
      </c>
    </row>
    <row r="218" spans="1:22" ht="20.25" customHeight="1">
      <c r="A218" s="362">
        <v>16</v>
      </c>
      <c r="B218" s="416" t="s">
        <v>603</v>
      </c>
      <c r="C218" s="392" t="s">
        <v>507</v>
      </c>
      <c r="D218" s="392" t="s">
        <v>509</v>
      </c>
      <c r="E218" s="392" t="s">
        <v>509</v>
      </c>
      <c r="F218" s="392" t="s">
        <v>507</v>
      </c>
      <c r="G218" s="392" t="s">
        <v>507</v>
      </c>
      <c r="H218" s="392" t="s">
        <v>509</v>
      </c>
      <c r="I218" s="392" t="s">
        <v>507</v>
      </c>
      <c r="J218" s="392" t="s">
        <v>507</v>
      </c>
      <c r="K218" s="392" t="s">
        <v>509</v>
      </c>
      <c r="L218" s="392" t="s">
        <v>509</v>
      </c>
      <c r="M218" s="392" t="s">
        <v>509</v>
      </c>
      <c r="N218" s="392" t="s">
        <v>507</v>
      </c>
      <c r="O218" s="392" t="s">
        <v>509</v>
      </c>
      <c r="P218" s="392" t="s">
        <v>507</v>
      </c>
      <c r="Q218" s="392" t="s">
        <v>507</v>
      </c>
      <c r="R218" s="392" t="s">
        <v>509</v>
      </c>
      <c r="S218" s="392" t="s">
        <v>509</v>
      </c>
      <c r="T218" s="392" t="s">
        <v>507</v>
      </c>
      <c r="U218" s="392" t="s">
        <v>507</v>
      </c>
      <c r="V218" s="352">
        <f t="shared" si="20"/>
        <v>10</v>
      </c>
    </row>
    <row r="219" spans="1:22" ht="20.25" customHeight="1">
      <c r="A219" s="362">
        <v>17</v>
      </c>
      <c r="B219" s="416" t="s">
        <v>604</v>
      </c>
      <c r="C219" s="392" t="s">
        <v>507</v>
      </c>
      <c r="D219" s="392" t="s">
        <v>509</v>
      </c>
      <c r="E219" s="392" t="s">
        <v>509</v>
      </c>
      <c r="F219" s="392" t="s">
        <v>507</v>
      </c>
      <c r="G219" s="392" t="s">
        <v>509</v>
      </c>
      <c r="H219" s="392" t="s">
        <v>509</v>
      </c>
      <c r="I219" s="392" t="s">
        <v>507</v>
      </c>
      <c r="J219" s="392" t="s">
        <v>507</v>
      </c>
      <c r="K219" s="392" t="s">
        <v>507</v>
      </c>
      <c r="L219" s="392" t="s">
        <v>509</v>
      </c>
      <c r="M219" s="392" t="s">
        <v>509</v>
      </c>
      <c r="N219" s="392" t="s">
        <v>507</v>
      </c>
      <c r="O219" s="392" t="s">
        <v>507</v>
      </c>
      <c r="P219" s="392" t="s">
        <v>507</v>
      </c>
      <c r="Q219" s="392" t="s">
        <v>507</v>
      </c>
      <c r="R219" s="392" t="s">
        <v>509</v>
      </c>
      <c r="S219" s="392" t="s">
        <v>509</v>
      </c>
      <c r="T219" s="392" t="s">
        <v>509</v>
      </c>
      <c r="U219" s="392" t="s">
        <v>507</v>
      </c>
      <c r="V219" s="352">
        <f t="shared" si="20"/>
        <v>10</v>
      </c>
    </row>
    <row r="220" spans="1:22" ht="20.25" customHeight="1">
      <c r="A220" s="362">
        <v>18</v>
      </c>
      <c r="B220" s="416" t="s">
        <v>605</v>
      </c>
      <c r="C220" s="392" t="s">
        <v>507</v>
      </c>
      <c r="D220" s="392" t="s">
        <v>509</v>
      </c>
      <c r="E220" s="392" t="s">
        <v>509</v>
      </c>
      <c r="F220" s="392" t="s">
        <v>507</v>
      </c>
      <c r="G220" s="392" t="s">
        <v>509</v>
      </c>
      <c r="H220" s="392" t="s">
        <v>509</v>
      </c>
      <c r="I220" s="392" t="s">
        <v>508</v>
      </c>
      <c r="J220" s="392" t="s">
        <v>507</v>
      </c>
      <c r="K220" s="392" t="s">
        <v>507</v>
      </c>
      <c r="L220" s="392" t="s">
        <v>509</v>
      </c>
      <c r="M220" s="392" t="s">
        <v>509</v>
      </c>
      <c r="N220" s="392" t="s">
        <v>507</v>
      </c>
      <c r="O220" s="392" t="s">
        <v>507</v>
      </c>
      <c r="P220" s="392" t="s">
        <v>507</v>
      </c>
      <c r="Q220" s="392" t="s">
        <v>507</v>
      </c>
      <c r="R220" s="392" t="s">
        <v>509</v>
      </c>
      <c r="S220" s="392" t="s">
        <v>509</v>
      </c>
      <c r="T220" s="392" t="s">
        <v>509</v>
      </c>
      <c r="U220" s="392" t="s">
        <v>507</v>
      </c>
      <c r="V220" s="352">
        <f t="shared" si="20"/>
        <v>9</v>
      </c>
    </row>
    <row r="221" spans="1:22" ht="20.25" customHeight="1">
      <c r="A221" s="362">
        <v>19</v>
      </c>
      <c r="B221" s="416" t="s">
        <v>425</v>
      </c>
      <c r="C221" s="392" t="s">
        <v>507</v>
      </c>
      <c r="D221" s="392" t="s">
        <v>509</v>
      </c>
      <c r="E221" s="392" t="s">
        <v>507</v>
      </c>
      <c r="F221" s="392" t="s">
        <v>507</v>
      </c>
      <c r="G221" s="392" t="s">
        <v>507</v>
      </c>
      <c r="H221" s="392" t="s">
        <v>509</v>
      </c>
      <c r="I221" s="392" t="s">
        <v>508</v>
      </c>
      <c r="J221" s="392" t="s">
        <v>507</v>
      </c>
      <c r="K221" s="392" t="s">
        <v>507</v>
      </c>
      <c r="L221" s="392" t="s">
        <v>509</v>
      </c>
      <c r="M221" s="392" t="s">
        <v>509</v>
      </c>
      <c r="N221" s="392" t="s">
        <v>507</v>
      </c>
      <c r="O221" s="392" t="s">
        <v>509</v>
      </c>
      <c r="P221" s="392" t="s">
        <v>507</v>
      </c>
      <c r="Q221" s="392" t="s">
        <v>509</v>
      </c>
      <c r="R221" s="392" t="s">
        <v>509</v>
      </c>
      <c r="S221" s="392" t="s">
        <v>509</v>
      </c>
      <c r="T221" s="392" t="s">
        <v>509</v>
      </c>
      <c r="U221" s="392" t="s">
        <v>507</v>
      </c>
      <c r="V221" s="352">
        <f t="shared" si="20"/>
        <v>9</v>
      </c>
    </row>
    <row r="222" spans="1:22" ht="20.25" customHeight="1">
      <c r="A222" s="362">
        <v>20</v>
      </c>
      <c r="B222" s="416" t="s">
        <v>606</v>
      </c>
      <c r="C222" s="392" t="s">
        <v>507</v>
      </c>
      <c r="D222" s="392" t="s">
        <v>509</v>
      </c>
      <c r="E222" s="392" t="s">
        <v>509</v>
      </c>
      <c r="F222" s="392" t="s">
        <v>507</v>
      </c>
      <c r="G222" s="392" t="s">
        <v>509</v>
      </c>
      <c r="H222" s="392" t="s">
        <v>509</v>
      </c>
      <c r="I222" s="392" t="s">
        <v>507</v>
      </c>
      <c r="J222" s="392" t="s">
        <v>507</v>
      </c>
      <c r="K222" s="392" t="s">
        <v>509</v>
      </c>
      <c r="L222" s="392" t="s">
        <v>509</v>
      </c>
      <c r="M222" s="392" t="s">
        <v>509</v>
      </c>
      <c r="N222" s="392" t="s">
        <v>507</v>
      </c>
      <c r="O222" s="392" t="s">
        <v>507</v>
      </c>
      <c r="P222" s="392" t="s">
        <v>507</v>
      </c>
      <c r="Q222" s="392" t="s">
        <v>507</v>
      </c>
      <c r="R222" s="392" t="s">
        <v>507</v>
      </c>
      <c r="S222" s="392" t="s">
        <v>509</v>
      </c>
      <c r="T222" s="392" t="s">
        <v>509</v>
      </c>
      <c r="U222" s="392" t="s">
        <v>509</v>
      </c>
      <c r="V222" s="352">
        <f t="shared" si="20"/>
        <v>9</v>
      </c>
    </row>
    <row r="223" spans="1:22" ht="20.25" customHeight="1">
      <c r="A223" s="362">
        <v>21</v>
      </c>
      <c r="B223" s="416" t="s">
        <v>428</v>
      </c>
      <c r="C223" s="392" t="s">
        <v>507</v>
      </c>
      <c r="D223" s="392" t="s">
        <v>509</v>
      </c>
      <c r="E223" s="392" t="s">
        <v>507</v>
      </c>
      <c r="F223" s="392" t="s">
        <v>507</v>
      </c>
      <c r="G223" s="392" t="s">
        <v>509</v>
      </c>
      <c r="H223" s="392" t="s">
        <v>509</v>
      </c>
      <c r="I223" s="392" t="s">
        <v>508</v>
      </c>
      <c r="J223" s="392" t="s">
        <v>507</v>
      </c>
      <c r="K223" s="392" t="s">
        <v>509</v>
      </c>
      <c r="L223" s="392" t="s">
        <v>509</v>
      </c>
      <c r="M223" s="392" t="s">
        <v>509</v>
      </c>
      <c r="N223" s="392" t="s">
        <v>507</v>
      </c>
      <c r="O223" s="392" t="s">
        <v>507</v>
      </c>
      <c r="P223" s="392" t="s">
        <v>507</v>
      </c>
      <c r="Q223" s="392" t="s">
        <v>507</v>
      </c>
      <c r="R223" s="392" t="s">
        <v>509</v>
      </c>
      <c r="S223" s="392" t="s">
        <v>509</v>
      </c>
      <c r="T223" s="392" t="s">
        <v>509</v>
      </c>
      <c r="U223" s="392" t="s">
        <v>507</v>
      </c>
      <c r="V223" s="352">
        <f t="shared" si="20"/>
        <v>9</v>
      </c>
    </row>
    <row r="224" spans="1:22" s="446" customFormat="1" ht="20.25" customHeight="1">
      <c r="A224" s="583" t="s">
        <v>607</v>
      </c>
      <c r="B224" s="583"/>
      <c r="C224" s="441">
        <f>COUNTIF(C225:C246,"Đạt")</f>
        <v>22</v>
      </c>
      <c r="D224" s="441">
        <f t="shared" ref="D224:U224" si="21">COUNTIF(D225:D246,"Đạt")</f>
        <v>11</v>
      </c>
      <c r="E224" s="441">
        <f t="shared" si="21"/>
        <v>16</v>
      </c>
      <c r="F224" s="441">
        <f t="shared" si="21"/>
        <v>19</v>
      </c>
      <c r="G224" s="441">
        <f t="shared" si="21"/>
        <v>13</v>
      </c>
      <c r="H224" s="441">
        <f t="shared" si="21"/>
        <v>10</v>
      </c>
      <c r="I224" s="441">
        <f t="shared" si="21"/>
        <v>12</v>
      </c>
      <c r="J224" s="441">
        <f t="shared" si="21"/>
        <v>22</v>
      </c>
      <c r="K224" s="441">
        <f t="shared" si="21"/>
        <v>21</v>
      </c>
      <c r="L224" s="441">
        <f t="shared" si="21"/>
        <v>12</v>
      </c>
      <c r="M224" s="441">
        <f t="shared" si="21"/>
        <v>14</v>
      </c>
      <c r="N224" s="441">
        <f t="shared" si="21"/>
        <v>22</v>
      </c>
      <c r="O224" s="441">
        <f t="shared" si="21"/>
        <v>19</v>
      </c>
      <c r="P224" s="441">
        <f t="shared" si="21"/>
        <v>22</v>
      </c>
      <c r="Q224" s="441">
        <f t="shared" si="21"/>
        <v>17</v>
      </c>
      <c r="R224" s="441">
        <f t="shared" si="21"/>
        <v>13</v>
      </c>
      <c r="S224" s="441">
        <f t="shared" si="21"/>
        <v>10</v>
      </c>
      <c r="T224" s="441">
        <f t="shared" si="21"/>
        <v>15</v>
      </c>
      <c r="U224" s="441">
        <f t="shared" si="21"/>
        <v>20</v>
      </c>
      <c r="V224" s="442"/>
    </row>
    <row r="225" spans="1:22" ht="20.25" customHeight="1">
      <c r="A225" s="362">
        <v>1</v>
      </c>
      <c r="B225" s="417" t="s">
        <v>314</v>
      </c>
      <c r="C225" s="364" t="s">
        <v>507</v>
      </c>
      <c r="D225" s="364" t="s">
        <v>507</v>
      </c>
      <c r="E225" s="364" t="s">
        <v>507</v>
      </c>
      <c r="F225" s="364" t="s">
        <v>507</v>
      </c>
      <c r="G225" s="364" t="s">
        <v>507</v>
      </c>
      <c r="H225" s="364" t="s">
        <v>507</v>
      </c>
      <c r="I225" s="364" t="s">
        <v>507</v>
      </c>
      <c r="J225" s="364" t="s">
        <v>507</v>
      </c>
      <c r="K225" s="364" t="s">
        <v>507</v>
      </c>
      <c r="L225" s="364" t="s">
        <v>507</v>
      </c>
      <c r="M225" s="364" t="s">
        <v>507</v>
      </c>
      <c r="N225" s="364" t="s">
        <v>507</v>
      </c>
      <c r="O225" s="364" t="s">
        <v>507</v>
      </c>
      <c r="P225" s="364" t="s">
        <v>507</v>
      </c>
      <c r="Q225" s="364" t="s">
        <v>507</v>
      </c>
      <c r="R225" s="364" t="s">
        <v>507</v>
      </c>
      <c r="S225" s="364" t="s">
        <v>507</v>
      </c>
      <c r="T225" s="364" t="s">
        <v>507</v>
      </c>
      <c r="U225" s="364" t="s">
        <v>507</v>
      </c>
      <c r="V225" s="418">
        <f t="shared" ref="V225:V246" si="22">COUNTIF(C225:U225,"Đạt")</f>
        <v>19</v>
      </c>
    </row>
    <row r="226" spans="1:22" ht="20.25" customHeight="1">
      <c r="A226" s="362">
        <v>2</v>
      </c>
      <c r="B226" s="417" t="s">
        <v>312</v>
      </c>
      <c r="C226" s="364" t="s">
        <v>507</v>
      </c>
      <c r="D226" s="364" t="s">
        <v>507</v>
      </c>
      <c r="E226" s="364" t="s">
        <v>507</v>
      </c>
      <c r="F226" s="364" t="s">
        <v>507</v>
      </c>
      <c r="G226" s="364" t="s">
        <v>507</v>
      </c>
      <c r="H226" s="364" t="s">
        <v>507</v>
      </c>
      <c r="I226" s="364" t="s">
        <v>507</v>
      </c>
      <c r="J226" s="364" t="s">
        <v>507</v>
      </c>
      <c r="K226" s="364" t="s">
        <v>507</v>
      </c>
      <c r="L226" s="364" t="s">
        <v>507</v>
      </c>
      <c r="M226" s="364" t="s">
        <v>507</v>
      </c>
      <c r="N226" s="364" t="s">
        <v>507</v>
      </c>
      <c r="O226" s="364" t="s">
        <v>507</v>
      </c>
      <c r="P226" s="364" t="s">
        <v>507</v>
      </c>
      <c r="Q226" s="364" t="s">
        <v>507</v>
      </c>
      <c r="R226" s="364" t="s">
        <v>507</v>
      </c>
      <c r="S226" s="364" t="s">
        <v>507</v>
      </c>
      <c r="T226" s="364" t="s">
        <v>507</v>
      </c>
      <c r="U226" s="364" t="s">
        <v>507</v>
      </c>
      <c r="V226" s="418">
        <f t="shared" si="22"/>
        <v>19</v>
      </c>
    </row>
    <row r="227" spans="1:22" ht="20.25" customHeight="1">
      <c r="A227" s="362">
        <v>3</v>
      </c>
      <c r="B227" s="417" t="s">
        <v>299</v>
      </c>
      <c r="C227" s="392" t="s">
        <v>507</v>
      </c>
      <c r="D227" s="392" t="s">
        <v>507</v>
      </c>
      <c r="E227" s="392" t="s">
        <v>507</v>
      </c>
      <c r="F227" s="392" t="s">
        <v>507</v>
      </c>
      <c r="G227" s="392" t="s">
        <v>507</v>
      </c>
      <c r="H227" s="392" t="s">
        <v>507</v>
      </c>
      <c r="I227" s="392" t="s">
        <v>507</v>
      </c>
      <c r="J227" s="392" t="s">
        <v>507</v>
      </c>
      <c r="K227" s="392" t="s">
        <v>507</v>
      </c>
      <c r="L227" s="392" t="s">
        <v>507</v>
      </c>
      <c r="M227" s="364" t="s">
        <v>507</v>
      </c>
      <c r="N227" s="392" t="s">
        <v>507</v>
      </c>
      <c r="O227" s="392" t="s">
        <v>507</v>
      </c>
      <c r="P227" s="392" t="s">
        <v>507</v>
      </c>
      <c r="Q227" s="364" t="s">
        <v>507</v>
      </c>
      <c r="R227" s="364" t="s">
        <v>507</v>
      </c>
      <c r="S227" s="392" t="s">
        <v>507</v>
      </c>
      <c r="T227" s="392" t="s">
        <v>507</v>
      </c>
      <c r="U227" s="392" t="s">
        <v>507</v>
      </c>
      <c r="V227" s="418">
        <f t="shared" si="22"/>
        <v>19</v>
      </c>
    </row>
    <row r="228" spans="1:22" ht="20.25" customHeight="1">
      <c r="A228" s="362">
        <v>4</v>
      </c>
      <c r="B228" s="417" t="s">
        <v>319</v>
      </c>
      <c r="C228" s="392" t="s">
        <v>507</v>
      </c>
      <c r="D228" s="392" t="s">
        <v>507</v>
      </c>
      <c r="E228" s="392" t="s">
        <v>507</v>
      </c>
      <c r="F228" s="392" t="s">
        <v>507</v>
      </c>
      <c r="G228" s="392" t="s">
        <v>507</v>
      </c>
      <c r="H228" s="392" t="s">
        <v>507</v>
      </c>
      <c r="I228" s="392" t="s">
        <v>507</v>
      </c>
      <c r="J228" s="392" t="s">
        <v>507</v>
      </c>
      <c r="K228" s="392" t="s">
        <v>507</v>
      </c>
      <c r="L228" s="392" t="s">
        <v>507</v>
      </c>
      <c r="M228" s="364" t="s">
        <v>507</v>
      </c>
      <c r="N228" s="392" t="s">
        <v>507</v>
      </c>
      <c r="O228" s="392" t="s">
        <v>507</v>
      </c>
      <c r="P228" s="392" t="s">
        <v>507</v>
      </c>
      <c r="Q228" s="392" t="s">
        <v>507</v>
      </c>
      <c r="R228" s="392" t="s">
        <v>507</v>
      </c>
      <c r="S228" s="392" t="s">
        <v>507</v>
      </c>
      <c r="T228" s="392" t="s">
        <v>507</v>
      </c>
      <c r="U228" s="392" t="s">
        <v>507</v>
      </c>
      <c r="V228" s="418">
        <f t="shared" si="22"/>
        <v>19</v>
      </c>
    </row>
    <row r="229" spans="1:22" ht="20.25" customHeight="1">
      <c r="A229" s="362">
        <v>5</v>
      </c>
      <c r="B229" s="417" t="s">
        <v>315</v>
      </c>
      <c r="C229" s="392" t="s">
        <v>507</v>
      </c>
      <c r="D229" s="392" t="s">
        <v>507</v>
      </c>
      <c r="E229" s="392" t="s">
        <v>507</v>
      </c>
      <c r="F229" s="392" t="s">
        <v>507</v>
      </c>
      <c r="G229" s="388" t="s">
        <v>507</v>
      </c>
      <c r="H229" s="392" t="s">
        <v>507</v>
      </c>
      <c r="I229" s="391" t="s">
        <v>507</v>
      </c>
      <c r="J229" s="392" t="s">
        <v>507</v>
      </c>
      <c r="K229" s="388" t="s">
        <v>507</v>
      </c>
      <c r="L229" s="392" t="s">
        <v>507</v>
      </c>
      <c r="M229" s="364" t="s">
        <v>507</v>
      </c>
      <c r="N229" s="374" t="s">
        <v>507</v>
      </c>
      <c r="O229" s="364" t="s">
        <v>507</v>
      </c>
      <c r="P229" s="395" t="s">
        <v>507</v>
      </c>
      <c r="Q229" s="374" t="s">
        <v>507</v>
      </c>
      <c r="R229" s="392" t="s">
        <v>507</v>
      </c>
      <c r="S229" s="392" t="s">
        <v>507</v>
      </c>
      <c r="T229" s="392" t="s">
        <v>507</v>
      </c>
      <c r="U229" s="392" t="s">
        <v>507</v>
      </c>
      <c r="V229" s="418">
        <f t="shared" si="22"/>
        <v>19</v>
      </c>
    </row>
    <row r="230" spans="1:22" ht="20.25" customHeight="1">
      <c r="A230" s="362">
        <v>6</v>
      </c>
      <c r="B230" s="417" t="s">
        <v>304</v>
      </c>
      <c r="C230" s="388" t="s">
        <v>507</v>
      </c>
      <c r="D230" s="392" t="s">
        <v>507</v>
      </c>
      <c r="E230" s="388" t="s">
        <v>507</v>
      </c>
      <c r="F230" s="392" t="s">
        <v>507</v>
      </c>
      <c r="G230" s="388" t="s">
        <v>507</v>
      </c>
      <c r="H230" s="392" t="s">
        <v>507</v>
      </c>
      <c r="I230" s="392" t="s">
        <v>507</v>
      </c>
      <c r="J230" s="392" t="s">
        <v>507</v>
      </c>
      <c r="K230" s="388" t="s">
        <v>507</v>
      </c>
      <c r="L230" s="392" t="s">
        <v>507</v>
      </c>
      <c r="M230" s="364" t="s">
        <v>507</v>
      </c>
      <c r="N230" s="395" t="s">
        <v>507</v>
      </c>
      <c r="O230" s="395" t="s">
        <v>507</v>
      </c>
      <c r="P230" s="395" t="s">
        <v>507</v>
      </c>
      <c r="Q230" s="374" t="s">
        <v>507</v>
      </c>
      <c r="R230" s="374" t="s">
        <v>507</v>
      </c>
      <c r="S230" s="392" t="s">
        <v>507</v>
      </c>
      <c r="T230" s="374" t="s">
        <v>507</v>
      </c>
      <c r="U230" s="374" t="s">
        <v>507</v>
      </c>
      <c r="V230" s="418">
        <f t="shared" si="22"/>
        <v>19</v>
      </c>
    </row>
    <row r="231" spans="1:22" ht="20.25" customHeight="1">
      <c r="A231" s="362">
        <v>7</v>
      </c>
      <c r="B231" s="417" t="s">
        <v>300</v>
      </c>
      <c r="C231" s="364" t="s">
        <v>507</v>
      </c>
      <c r="D231" s="364" t="s">
        <v>507</v>
      </c>
      <c r="E231" s="364" t="s">
        <v>507</v>
      </c>
      <c r="F231" s="364" t="s">
        <v>507</v>
      </c>
      <c r="G231" s="364" t="s">
        <v>507</v>
      </c>
      <c r="H231" s="364" t="s">
        <v>507</v>
      </c>
      <c r="I231" s="364" t="s">
        <v>508</v>
      </c>
      <c r="J231" s="364" t="s">
        <v>507</v>
      </c>
      <c r="K231" s="364" t="s">
        <v>507</v>
      </c>
      <c r="L231" s="364" t="s">
        <v>507</v>
      </c>
      <c r="M231" s="364" t="s">
        <v>507</v>
      </c>
      <c r="N231" s="364" t="s">
        <v>507</v>
      </c>
      <c r="O231" s="364" t="s">
        <v>507</v>
      </c>
      <c r="P231" s="364" t="s">
        <v>507</v>
      </c>
      <c r="Q231" s="364" t="s">
        <v>507</v>
      </c>
      <c r="R231" s="364" t="s">
        <v>507</v>
      </c>
      <c r="S231" s="364" t="s">
        <v>507</v>
      </c>
      <c r="T231" s="364" t="s">
        <v>507</v>
      </c>
      <c r="U231" s="364" t="s">
        <v>507</v>
      </c>
      <c r="V231" s="418">
        <f t="shared" si="22"/>
        <v>18</v>
      </c>
    </row>
    <row r="232" spans="1:22" ht="20.25" customHeight="1">
      <c r="A232" s="362">
        <v>8</v>
      </c>
      <c r="B232" s="417" t="s">
        <v>309</v>
      </c>
      <c r="C232" s="392" t="s">
        <v>507</v>
      </c>
      <c r="D232" s="392" t="s">
        <v>507</v>
      </c>
      <c r="E232" s="392" t="s">
        <v>507</v>
      </c>
      <c r="F232" s="392" t="s">
        <v>507</v>
      </c>
      <c r="G232" s="392" t="s">
        <v>507</v>
      </c>
      <c r="H232" s="392" t="s">
        <v>507</v>
      </c>
      <c r="I232" s="392" t="s">
        <v>508</v>
      </c>
      <c r="J232" s="392" t="s">
        <v>507</v>
      </c>
      <c r="K232" s="392" t="s">
        <v>507</v>
      </c>
      <c r="L232" s="392" t="s">
        <v>507</v>
      </c>
      <c r="M232" s="364" t="s">
        <v>507</v>
      </c>
      <c r="N232" s="392" t="s">
        <v>507</v>
      </c>
      <c r="O232" s="392" t="s">
        <v>507</v>
      </c>
      <c r="P232" s="392" t="s">
        <v>507</v>
      </c>
      <c r="Q232" s="392" t="s">
        <v>507</v>
      </c>
      <c r="R232" s="392" t="s">
        <v>507</v>
      </c>
      <c r="S232" s="392" t="s">
        <v>507</v>
      </c>
      <c r="T232" s="392" t="s">
        <v>507</v>
      </c>
      <c r="U232" s="392" t="s">
        <v>507</v>
      </c>
      <c r="V232" s="418">
        <f t="shared" si="22"/>
        <v>18</v>
      </c>
    </row>
    <row r="233" spans="1:22" ht="20.25" customHeight="1">
      <c r="A233" s="362">
        <v>9</v>
      </c>
      <c r="B233" s="417" t="s">
        <v>302</v>
      </c>
      <c r="C233" s="392" t="s">
        <v>507</v>
      </c>
      <c r="D233" s="392" t="s">
        <v>507</v>
      </c>
      <c r="E233" s="419" t="s">
        <v>507</v>
      </c>
      <c r="F233" s="392" t="s">
        <v>507</v>
      </c>
      <c r="G233" s="388" t="s">
        <v>507</v>
      </c>
      <c r="H233" s="392" t="s">
        <v>507</v>
      </c>
      <c r="I233" s="364" t="s">
        <v>508</v>
      </c>
      <c r="J233" s="392" t="s">
        <v>507</v>
      </c>
      <c r="K233" s="388" t="s">
        <v>507</v>
      </c>
      <c r="L233" s="392" t="s">
        <v>507</v>
      </c>
      <c r="M233" s="364" t="s">
        <v>507</v>
      </c>
      <c r="N233" s="374" t="s">
        <v>507</v>
      </c>
      <c r="O233" s="364" t="s">
        <v>507</v>
      </c>
      <c r="P233" s="388" t="s">
        <v>507</v>
      </c>
      <c r="Q233" s="374" t="s">
        <v>507</v>
      </c>
      <c r="R233" s="392" t="s">
        <v>507</v>
      </c>
      <c r="S233" s="392" t="s">
        <v>507</v>
      </c>
      <c r="T233" s="374" t="s">
        <v>507</v>
      </c>
      <c r="U233" s="374" t="s">
        <v>507</v>
      </c>
      <c r="V233" s="418">
        <f t="shared" si="22"/>
        <v>18</v>
      </c>
    </row>
    <row r="234" spans="1:22" ht="20.25" customHeight="1">
      <c r="A234" s="362">
        <v>10</v>
      </c>
      <c r="B234" s="417" t="s">
        <v>318</v>
      </c>
      <c r="C234" s="392" t="s">
        <v>507</v>
      </c>
      <c r="D234" s="392" t="s">
        <v>507</v>
      </c>
      <c r="E234" s="392" t="s">
        <v>507</v>
      </c>
      <c r="F234" s="392" t="s">
        <v>507</v>
      </c>
      <c r="G234" s="392" t="s">
        <v>509</v>
      </c>
      <c r="H234" s="392" t="s">
        <v>509</v>
      </c>
      <c r="I234" s="364" t="s">
        <v>508</v>
      </c>
      <c r="J234" s="392" t="s">
        <v>507</v>
      </c>
      <c r="K234" s="388" t="s">
        <v>507</v>
      </c>
      <c r="L234" s="388" t="s">
        <v>507</v>
      </c>
      <c r="M234" s="364" t="s">
        <v>509</v>
      </c>
      <c r="N234" s="395" t="s">
        <v>507</v>
      </c>
      <c r="O234" s="395" t="s">
        <v>507</v>
      </c>
      <c r="P234" s="395" t="s">
        <v>507</v>
      </c>
      <c r="Q234" s="364" t="s">
        <v>507</v>
      </c>
      <c r="R234" s="388" t="s">
        <v>509</v>
      </c>
      <c r="S234" s="374" t="s">
        <v>507</v>
      </c>
      <c r="T234" s="374" t="s">
        <v>507</v>
      </c>
      <c r="U234" s="374" t="s">
        <v>507</v>
      </c>
      <c r="V234" s="418">
        <f t="shared" si="22"/>
        <v>14</v>
      </c>
    </row>
    <row r="235" spans="1:22" ht="20.25" customHeight="1">
      <c r="A235" s="362">
        <v>11</v>
      </c>
      <c r="B235" s="417" t="s">
        <v>310</v>
      </c>
      <c r="C235" s="392" t="s">
        <v>507</v>
      </c>
      <c r="D235" s="392" t="s">
        <v>509</v>
      </c>
      <c r="E235" s="392" t="s">
        <v>509</v>
      </c>
      <c r="F235" s="392" t="s">
        <v>507</v>
      </c>
      <c r="G235" s="392" t="s">
        <v>509</v>
      </c>
      <c r="H235" s="392" t="s">
        <v>507</v>
      </c>
      <c r="I235" s="420" t="s">
        <v>507</v>
      </c>
      <c r="J235" s="392" t="s">
        <v>507</v>
      </c>
      <c r="K235" s="388" t="s">
        <v>507</v>
      </c>
      <c r="L235" s="388" t="s">
        <v>507</v>
      </c>
      <c r="M235" s="364" t="s">
        <v>509</v>
      </c>
      <c r="N235" s="395" t="s">
        <v>507</v>
      </c>
      <c r="O235" s="364" t="s">
        <v>507</v>
      </c>
      <c r="P235" s="388" t="s">
        <v>507</v>
      </c>
      <c r="Q235" s="388" t="s">
        <v>507</v>
      </c>
      <c r="R235" s="388" t="s">
        <v>507</v>
      </c>
      <c r="S235" s="374" t="s">
        <v>509</v>
      </c>
      <c r="T235" s="374" t="s">
        <v>509</v>
      </c>
      <c r="U235" s="392" t="s">
        <v>507</v>
      </c>
      <c r="V235" s="418">
        <f t="shared" si="22"/>
        <v>13</v>
      </c>
    </row>
    <row r="236" spans="1:22" ht="20.25" customHeight="1">
      <c r="A236" s="362">
        <v>12</v>
      </c>
      <c r="B236" s="417" t="s">
        <v>305</v>
      </c>
      <c r="C236" s="388" t="s">
        <v>507</v>
      </c>
      <c r="D236" s="392" t="s">
        <v>509</v>
      </c>
      <c r="E236" s="392" t="s">
        <v>507</v>
      </c>
      <c r="F236" s="388" t="s">
        <v>507</v>
      </c>
      <c r="G236" s="388" t="s">
        <v>509</v>
      </c>
      <c r="H236" s="392" t="s">
        <v>509</v>
      </c>
      <c r="I236" s="391" t="s">
        <v>507</v>
      </c>
      <c r="J236" s="392" t="s">
        <v>507</v>
      </c>
      <c r="K236" s="392" t="s">
        <v>507</v>
      </c>
      <c r="L236" s="388" t="s">
        <v>509</v>
      </c>
      <c r="M236" s="374" t="s">
        <v>509</v>
      </c>
      <c r="N236" s="374" t="s">
        <v>507</v>
      </c>
      <c r="O236" s="364" t="s">
        <v>507</v>
      </c>
      <c r="P236" s="395" t="s">
        <v>507</v>
      </c>
      <c r="Q236" s="364" t="s">
        <v>507</v>
      </c>
      <c r="R236" s="392" t="s">
        <v>509</v>
      </c>
      <c r="S236" s="374" t="s">
        <v>509</v>
      </c>
      <c r="T236" s="374" t="s">
        <v>507</v>
      </c>
      <c r="U236" s="392" t="s">
        <v>507</v>
      </c>
      <c r="V236" s="418">
        <f t="shared" si="22"/>
        <v>12</v>
      </c>
    </row>
    <row r="237" spans="1:22" ht="20.25" customHeight="1">
      <c r="A237" s="362">
        <v>13</v>
      </c>
      <c r="B237" s="417" t="s">
        <v>316</v>
      </c>
      <c r="C237" s="392" t="s">
        <v>507</v>
      </c>
      <c r="D237" s="392" t="s">
        <v>509</v>
      </c>
      <c r="E237" s="392" t="s">
        <v>507</v>
      </c>
      <c r="F237" s="392" t="s">
        <v>507</v>
      </c>
      <c r="G237" s="388" t="s">
        <v>507</v>
      </c>
      <c r="H237" s="392" t="s">
        <v>509</v>
      </c>
      <c r="I237" s="364" t="s">
        <v>608</v>
      </c>
      <c r="J237" s="392" t="s">
        <v>507</v>
      </c>
      <c r="K237" s="388" t="s">
        <v>507</v>
      </c>
      <c r="L237" s="388" t="s">
        <v>509</v>
      </c>
      <c r="M237" s="364" t="s">
        <v>507</v>
      </c>
      <c r="N237" s="374" t="s">
        <v>507</v>
      </c>
      <c r="O237" s="364" t="s">
        <v>507</v>
      </c>
      <c r="P237" s="388" t="s">
        <v>507</v>
      </c>
      <c r="Q237" s="364" t="s">
        <v>507</v>
      </c>
      <c r="R237" s="392" t="s">
        <v>509</v>
      </c>
      <c r="S237" s="374" t="s">
        <v>509</v>
      </c>
      <c r="T237" s="374" t="s">
        <v>507</v>
      </c>
      <c r="U237" s="374" t="s">
        <v>509</v>
      </c>
      <c r="V237" s="418">
        <f t="shared" si="22"/>
        <v>12</v>
      </c>
    </row>
    <row r="238" spans="1:22" ht="20.25" customHeight="1">
      <c r="A238" s="362">
        <v>14</v>
      </c>
      <c r="B238" s="417" t="s">
        <v>306</v>
      </c>
      <c r="C238" s="392" t="s">
        <v>507</v>
      </c>
      <c r="D238" s="392" t="s">
        <v>509</v>
      </c>
      <c r="E238" s="392" t="s">
        <v>509</v>
      </c>
      <c r="F238" s="392" t="s">
        <v>509</v>
      </c>
      <c r="G238" s="388" t="s">
        <v>507</v>
      </c>
      <c r="H238" s="392" t="s">
        <v>509</v>
      </c>
      <c r="I238" s="364" t="s">
        <v>608</v>
      </c>
      <c r="J238" s="392" t="s">
        <v>507</v>
      </c>
      <c r="K238" s="388" t="s">
        <v>507</v>
      </c>
      <c r="L238" s="388" t="s">
        <v>507</v>
      </c>
      <c r="M238" s="364" t="s">
        <v>509</v>
      </c>
      <c r="N238" s="395" t="s">
        <v>507</v>
      </c>
      <c r="O238" s="395" t="s">
        <v>507</v>
      </c>
      <c r="P238" s="395" t="s">
        <v>507</v>
      </c>
      <c r="Q238" s="364" t="s">
        <v>509</v>
      </c>
      <c r="R238" s="374" t="s">
        <v>507</v>
      </c>
      <c r="S238" s="374" t="s">
        <v>509</v>
      </c>
      <c r="T238" s="392" t="s">
        <v>507</v>
      </c>
      <c r="U238" s="392" t="s">
        <v>507</v>
      </c>
      <c r="V238" s="418">
        <f t="shared" si="22"/>
        <v>11</v>
      </c>
    </row>
    <row r="239" spans="1:22" ht="20.25" customHeight="1">
      <c r="A239" s="362">
        <v>15</v>
      </c>
      <c r="B239" s="417" t="s">
        <v>301</v>
      </c>
      <c r="C239" s="392" t="s">
        <v>507</v>
      </c>
      <c r="D239" s="392" t="s">
        <v>509</v>
      </c>
      <c r="E239" s="388" t="s">
        <v>507</v>
      </c>
      <c r="F239" s="392" t="s">
        <v>509</v>
      </c>
      <c r="G239" s="392" t="s">
        <v>509</v>
      </c>
      <c r="H239" s="392" t="s">
        <v>509</v>
      </c>
      <c r="I239" s="420" t="s">
        <v>507</v>
      </c>
      <c r="J239" s="392" t="s">
        <v>507</v>
      </c>
      <c r="K239" s="388" t="s">
        <v>507</v>
      </c>
      <c r="L239" s="388" t="s">
        <v>509</v>
      </c>
      <c r="M239" s="395" t="s">
        <v>507</v>
      </c>
      <c r="N239" s="395" t="s">
        <v>507</v>
      </c>
      <c r="O239" s="395" t="s">
        <v>507</v>
      </c>
      <c r="P239" s="395" t="s">
        <v>507</v>
      </c>
      <c r="Q239" s="364" t="s">
        <v>509</v>
      </c>
      <c r="R239" s="374" t="s">
        <v>507</v>
      </c>
      <c r="S239" s="374" t="s">
        <v>509</v>
      </c>
      <c r="T239" s="374" t="s">
        <v>509</v>
      </c>
      <c r="U239" s="374" t="s">
        <v>507</v>
      </c>
      <c r="V239" s="418">
        <f t="shared" si="22"/>
        <v>11</v>
      </c>
    </row>
    <row r="240" spans="1:22" ht="20.25" customHeight="1">
      <c r="A240" s="362">
        <v>16</v>
      </c>
      <c r="B240" s="417" t="s">
        <v>303</v>
      </c>
      <c r="C240" s="392" t="s">
        <v>507</v>
      </c>
      <c r="D240" s="392" t="s">
        <v>509</v>
      </c>
      <c r="E240" s="388" t="s">
        <v>507</v>
      </c>
      <c r="F240" s="392" t="s">
        <v>507</v>
      </c>
      <c r="G240" s="388" t="s">
        <v>507</v>
      </c>
      <c r="H240" s="392" t="s">
        <v>509</v>
      </c>
      <c r="I240" s="392" t="s">
        <v>509</v>
      </c>
      <c r="J240" s="392" t="s">
        <v>507</v>
      </c>
      <c r="K240" s="388" t="s">
        <v>507</v>
      </c>
      <c r="L240" s="392" t="s">
        <v>509</v>
      </c>
      <c r="M240" s="364" t="s">
        <v>507</v>
      </c>
      <c r="N240" s="395" t="s">
        <v>507</v>
      </c>
      <c r="O240" s="364" t="s">
        <v>509</v>
      </c>
      <c r="P240" s="395" t="s">
        <v>507</v>
      </c>
      <c r="Q240" s="421" t="s">
        <v>509</v>
      </c>
      <c r="R240" s="392" t="s">
        <v>509</v>
      </c>
      <c r="S240" s="374" t="s">
        <v>509</v>
      </c>
      <c r="T240" s="374" t="s">
        <v>507</v>
      </c>
      <c r="U240" s="392" t="s">
        <v>507</v>
      </c>
      <c r="V240" s="418">
        <f t="shared" si="22"/>
        <v>11</v>
      </c>
    </row>
    <row r="241" spans="1:22" ht="20.25" customHeight="1">
      <c r="A241" s="362">
        <v>17</v>
      </c>
      <c r="B241" s="417" t="s">
        <v>313</v>
      </c>
      <c r="C241" s="392" t="s">
        <v>507</v>
      </c>
      <c r="D241" s="392" t="s">
        <v>509</v>
      </c>
      <c r="E241" s="392" t="s">
        <v>507</v>
      </c>
      <c r="F241" s="392" t="s">
        <v>507</v>
      </c>
      <c r="G241" s="388" t="s">
        <v>507</v>
      </c>
      <c r="H241" s="392" t="s">
        <v>509</v>
      </c>
      <c r="I241" s="392" t="s">
        <v>509</v>
      </c>
      <c r="J241" s="392" t="s">
        <v>507</v>
      </c>
      <c r="K241" s="388" t="s">
        <v>509</v>
      </c>
      <c r="L241" s="388" t="s">
        <v>509</v>
      </c>
      <c r="M241" s="364" t="s">
        <v>507</v>
      </c>
      <c r="N241" s="374" t="s">
        <v>507</v>
      </c>
      <c r="O241" s="364" t="s">
        <v>509</v>
      </c>
      <c r="P241" s="388" t="s">
        <v>507</v>
      </c>
      <c r="Q241" s="421" t="s">
        <v>507</v>
      </c>
      <c r="R241" s="392" t="s">
        <v>509</v>
      </c>
      <c r="S241" s="374" t="s">
        <v>509</v>
      </c>
      <c r="T241" s="374" t="s">
        <v>509</v>
      </c>
      <c r="U241" s="392" t="s">
        <v>507</v>
      </c>
      <c r="V241" s="418">
        <f t="shared" si="22"/>
        <v>10</v>
      </c>
    </row>
    <row r="242" spans="1:22" ht="20.25" customHeight="1">
      <c r="A242" s="362">
        <v>18</v>
      </c>
      <c r="B242" s="417" t="s">
        <v>308</v>
      </c>
      <c r="C242" s="392" t="s">
        <v>507</v>
      </c>
      <c r="D242" s="392" t="s">
        <v>509</v>
      </c>
      <c r="E242" s="388" t="s">
        <v>507</v>
      </c>
      <c r="F242" s="392" t="s">
        <v>507</v>
      </c>
      <c r="G242" s="388" t="s">
        <v>509</v>
      </c>
      <c r="H242" s="392" t="s">
        <v>509</v>
      </c>
      <c r="I242" s="420" t="s">
        <v>507</v>
      </c>
      <c r="J242" s="392" t="s">
        <v>507</v>
      </c>
      <c r="K242" s="388" t="s">
        <v>507</v>
      </c>
      <c r="L242" s="388" t="s">
        <v>509</v>
      </c>
      <c r="M242" s="422" t="s">
        <v>509</v>
      </c>
      <c r="N242" s="395" t="s">
        <v>507</v>
      </c>
      <c r="O242" s="364" t="s">
        <v>509</v>
      </c>
      <c r="P242" s="392" t="s">
        <v>507</v>
      </c>
      <c r="Q242" s="364" t="s">
        <v>507</v>
      </c>
      <c r="R242" s="392" t="s">
        <v>509</v>
      </c>
      <c r="S242" s="374" t="s">
        <v>509</v>
      </c>
      <c r="T242" s="374" t="s">
        <v>509</v>
      </c>
      <c r="U242" s="392" t="s">
        <v>507</v>
      </c>
      <c r="V242" s="418">
        <f t="shared" si="22"/>
        <v>10</v>
      </c>
    </row>
    <row r="243" spans="1:22" ht="20.25" customHeight="1">
      <c r="A243" s="362">
        <v>19</v>
      </c>
      <c r="B243" s="417" t="s">
        <v>317</v>
      </c>
      <c r="C243" s="392" t="s">
        <v>507</v>
      </c>
      <c r="D243" s="392" t="s">
        <v>509</v>
      </c>
      <c r="E243" s="392" t="s">
        <v>509</v>
      </c>
      <c r="F243" s="392" t="s">
        <v>509</v>
      </c>
      <c r="G243" s="388" t="s">
        <v>509</v>
      </c>
      <c r="H243" s="392" t="s">
        <v>509</v>
      </c>
      <c r="I243" s="392" t="s">
        <v>507</v>
      </c>
      <c r="J243" s="392" t="s">
        <v>507</v>
      </c>
      <c r="K243" s="388" t="s">
        <v>507</v>
      </c>
      <c r="L243" s="388" t="s">
        <v>509</v>
      </c>
      <c r="M243" s="374" t="s">
        <v>507</v>
      </c>
      <c r="N243" s="388" t="s">
        <v>507</v>
      </c>
      <c r="O243" s="364" t="s">
        <v>507</v>
      </c>
      <c r="P243" s="388" t="s">
        <v>507</v>
      </c>
      <c r="Q243" s="364" t="s">
        <v>509</v>
      </c>
      <c r="R243" s="392" t="s">
        <v>507</v>
      </c>
      <c r="S243" s="374" t="s">
        <v>509</v>
      </c>
      <c r="T243" s="374" t="s">
        <v>509</v>
      </c>
      <c r="U243" s="374" t="s">
        <v>507</v>
      </c>
      <c r="V243" s="418">
        <f t="shared" si="22"/>
        <v>10</v>
      </c>
    </row>
    <row r="244" spans="1:22" ht="29.5" customHeight="1">
      <c r="A244" s="362">
        <v>20</v>
      </c>
      <c r="B244" s="417" t="s">
        <v>307</v>
      </c>
      <c r="C244" s="392" t="s">
        <v>507</v>
      </c>
      <c r="D244" s="388" t="s">
        <v>507</v>
      </c>
      <c r="E244" s="392" t="s">
        <v>509</v>
      </c>
      <c r="F244" s="392" t="s">
        <v>507</v>
      </c>
      <c r="G244" s="392" t="s">
        <v>509</v>
      </c>
      <c r="H244" s="392" t="s">
        <v>509</v>
      </c>
      <c r="I244" s="364" t="s">
        <v>608</v>
      </c>
      <c r="J244" s="392" t="s">
        <v>507</v>
      </c>
      <c r="K244" s="388" t="s">
        <v>507</v>
      </c>
      <c r="L244" s="388" t="s">
        <v>509</v>
      </c>
      <c r="M244" s="421" t="s">
        <v>509</v>
      </c>
      <c r="N244" s="395" t="s">
        <v>507</v>
      </c>
      <c r="O244" s="395" t="s">
        <v>507</v>
      </c>
      <c r="P244" s="395" t="s">
        <v>507</v>
      </c>
      <c r="Q244" s="421" t="s">
        <v>509</v>
      </c>
      <c r="R244" s="421" t="s">
        <v>509</v>
      </c>
      <c r="S244" s="364" t="s">
        <v>509</v>
      </c>
      <c r="T244" s="374" t="s">
        <v>507</v>
      </c>
      <c r="U244" s="374" t="s">
        <v>507</v>
      </c>
      <c r="V244" s="418">
        <f t="shared" si="22"/>
        <v>10</v>
      </c>
    </row>
    <row r="245" spans="1:22" ht="20.25" customHeight="1">
      <c r="A245" s="362">
        <v>21</v>
      </c>
      <c r="B245" s="417" t="s">
        <v>311</v>
      </c>
      <c r="C245" s="392" t="s">
        <v>507</v>
      </c>
      <c r="D245" s="392" t="s">
        <v>509</v>
      </c>
      <c r="E245" s="392" t="s">
        <v>509</v>
      </c>
      <c r="F245" s="392" t="s">
        <v>507</v>
      </c>
      <c r="G245" s="392" t="s">
        <v>509</v>
      </c>
      <c r="H245" s="392" t="s">
        <v>509</v>
      </c>
      <c r="I245" s="364" t="s">
        <v>508</v>
      </c>
      <c r="J245" s="392" t="s">
        <v>507</v>
      </c>
      <c r="K245" s="388" t="s">
        <v>507</v>
      </c>
      <c r="L245" s="388" t="s">
        <v>509</v>
      </c>
      <c r="M245" s="374" t="s">
        <v>509</v>
      </c>
      <c r="N245" s="395" t="s">
        <v>507</v>
      </c>
      <c r="O245" s="364" t="s">
        <v>507</v>
      </c>
      <c r="P245" s="388" t="s">
        <v>507</v>
      </c>
      <c r="Q245" s="364" t="s">
        <v>507</v>
      </c>
      <c r="R245" s="392" t="s">
        <v>509</v>
      </c>
      <c r="S245" s="374" t="s">
        <v>509</v>
      </c>
      <c r="T245" s="374" t="s">
        <v>509</v>
      </c>
      <c r="U245" s="392" t="s">
        <v>507</v>
      </c>
      <c r="V245" s="418">
        <f t="shared" si="22"/>
        <v>9</v>
      </c>
    </row>
    <row r="246" spans="1:22" ht="20.25" customHeight="1">
      <c r="A246" s="362">
        <v>22</v>
      </c>
      <c r="B246" s="417" t="s">
        <v>298</v>
      </c>
      <c r="C246" s="392" t="s">
        <v>507</v>
      </c>
      <c r="D246" s="392" t="s">
        <v>509</v>
      </c>
      <c r="E246" s="392" t="s">
        <v>509</v>
      </c>
      <c r="F246" s="392" t="s">
        <v>507</v>
      </c>
      <c r="G246" s="392" t="s">
        <v>509</v>
      </c>
      <c r="H246" s="392" t="s">
        <v>509</v>
      </c>
      <c r="I246" s="420" t="s">
        <v>507</v>
      </c>
      <c r="J246" s="392" t="s">
        <v>507</v>
      </c>
      <c r="K246" s="388" t="s">
        <v>507</v>
      </c>
      <c r="L246" s="388" t="s">
        <v>509</v>
      </c>
      <c r="M246" s="374" t="s">
        <v>509</v>
      </c>
      <c r="N246" s="374" t="s">
        <v>507</v>
      </c>
      <c r="O246" s="364" t="s">
        <v>507</v>
      </c>
      <c r="P246" s="388" t="s">
        <v>507</v>
      </c>
      <c r="Q246" s="421" t="s">
        <v>507</v>
      </c>
      <c r="R246" s="421" t="s">
        <v>509</v>
      </c>
      <c r="S246" s="364" t="s">
        <v>509</v>
      </c>
      <c r="T246" s="374" t="s">
        <v>509</v>
      </c>
      <c r="U246" s="374" t="s">
        <v>509</v>
      </c>
      <c r="V246" s="418">
        <f t="shared" si="22"/>
        <v>9</v>
      </c>
    </row>
    <row r="247" spans="1:22" ht="20.25" customHeight="1">
      <c r="A247" s="584" t="s">
        <v>2</v>
      </c>
      <c r="B247" s="584"/>
      <c r="C247" s="423">
        <f>COUNTIF(C5:C246,"Đạt")</f>
        <v>229</v>
      </c>
      <c r="D247" s="423">
        <f t="shared" ref="D247:U247" si="23">COUNTIF(D5:D246,"Đạt")</f>
        <v>92</v>
      </c>
      <c r="E247" s="423">
        <f t="shared" si="23"/>
        <v>164</v>
      </c>
      <c r="F247" s="423">
        <f t="shared" si="23"/>
        <v>208</v>
      </c>
      <c r="G247" s="423">
        <f t="shared" si="23"/>
        <v>135</v>
      </c>
      <c r="H247" s="423">
        <f t="shared" si="23"/>
        <v>97</v>
      </c>
      <c r="I247" s="423">
        <f t="shared" si="23"/>
        <v>98</v>
      </c>
      <c r="J247" s="423">
        <f t="shared" si="23"/>
        <v>224</v>
      </c>
      <c r="K247" s="423">
        <f t="shared" si="23"/>
        <v>193</v>
      </c>
      <c r="L247" s="423">
        <f t="shared" si="23"/>
        <v>111</v>
      </c>
      <c r="M247" s="423">
        <f t="shared" si="23"/>
        <v>127</v>
      </c>
      <c r="N247" s="423">
        <f t="shared" si="23"/>
        <v>229</v>
      </c>
      <c r="O247" s="423">
        <f t="shared" si="23"/>
        <v>175</v>
      </c>
      <c r="P247" s="423">
        <f t="shared" si="23"/>
        <v>229</v>
      </c>
      <c r="Q247" s="423">
        <f t="shared" si="23"/>
        <v>206</v>
      </c>
      <c r="R247" s="423">
        <f t="shared" si="23"/>
        <v>170</v>
      </c>
      <c r="S247" s="423">
        <f t="shared" si="23"/>
        <v>84</v>
      </c>
      <c r="T247" s="423">
        <f t="shared" si="23"/>
        <v>171</v>
      </c>
      <c r="U247" s="423">
        <f t="shared" si="23"/>
        <v>211</v>
      </c>
      <c r="V247" s="424">
        <f>SUM(V6:V246)</f>
        <v>3153</v>
      </c>
    </row>
    <row r="249" spans="1:22">
      <c r="V249" s="427"/>
    </row>
  </sheetData>
  <mergeCells count="19">
    <mergeCell ref="A1:V1"/>
    <mergeCell ref="A2:A4"/>
    <mergeCell ref="B2:B4"/>
    <mergeCell ref="C2:V2"/>
    <mergeCell ref="V3:V4"/>
    <mergeCell ref="A5:B5"/>
    <mergeCell ref="A36:B36"/>
    <mergeCell ref="A48:B48"/>
    <mergeCell ref="A74:B74"/>
    <mergeCell ref="A96:B96"/>
    <mergeCell ref="A102:B102"/>
    <mergeCell ref="A116:B116"/>
    <mergeCell ref="A247:B247"/>
    <mergeCell ref="A147:B147"/>
    <mergeCell ref="A154:B154"/>
    <mergeCell ref="A156:B156"/>
    <mergeCell ref="A184:B184"/>
    <mergeCell ref="A202:B202"/>
    <mergeCell ref="A224:B224"/>
  </mergeCells>
  <pageMargins left="0.35433070866141736" right="0.23622047244094491" top="0.47244094488188981" bottom="0.35433070866141736" header="0.19685039370078741"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election activeCell="H4" sqref="H4"/>
    </sheetView>
  </sheetViews>
  <sheetFormatPr defaultColWidth="9.09765625" defaultRowHeight="15.5"/>
  <cols>
    <col min="1" max="1" width="4.8984375" style="425" customWidth="1"/>
    <col min="2" max="2" width="23.59765625" style="351" customWidth="1"/>
    <col min="3" max="3" width="6.296875" style="351" customWidth="1"/>
    <col min="4" max="4" width="7" style="351" customWidth="1"/>
    <col min="5" max="5" width="6.59765625" style="351" customWidth="1"/>
    <col min="6" max="6" width="6.296875" style="351" customWidth="1"/>
    <col min="7" max="8" width="6.3984375" style="351" customWidth="1"/>
    <col min="9" max="9" width="8" style="351" customWidth="1"/>
    <col min="10" max="10" width="5.296875" style="351" customWidth="1"/>
    <col min="11" max="11" width="6.3984375" style="351" customWidth="1"/>
    <col min="12" max="12" width="6.59765625" style="351" customWidth="1"/>
    <col min="13" max="13" width="6.3984375" style="351" customWidth="1"/>
    <col min="14" max="14" width="7.3984375" style="351" customWidth="1"/>
    <col min="15" max="15" width="6.296875" style="351" customWidth="1"/>
    <col min="16" max="16" width="6" style="351" customWidth="1"/>
    <col min="17" max="17" width="5.8984375" style="351" customWidth="1"/>
    <col min="18" max="18" width="6.59765625" style="351" customWidth="1"/>
    <col min="19" max="19" width="5.3984375" style="351" customWidth="1"/>
    <col min="20" max="20" width="6.3984375" style="351" customWidth="1"/>
    <col min="21" max="21" width="5.69921875" style="351" customWidth="1"/>
    <col min="22" max="22" width="9.3984375" style="426" customWidth="1"/>
    <col min="23" max="16384" width="9.09765625" style="351"/>
  </cols>
  <sheetData>
    <row r="1" spans="1:23" ht="50" customHeight="1">
      <c r="A1" s="589" t="s">
        <v>631</v>
      </c>
      <c r="B1" s="589"/>
      <c r="C1" s="589"/>
      <c r="D1" s="589"/>
      <c r="E1" s="589"/>
      <c r="F1" s="589"/>
      <c r="G1" s="589"/>
      <c r="H1" s="589"/>
      <c r="I1" s="589"/>
      <c r="J1" s="589"/>
      <c r="K1" s="589"/>
      <c r="L1" s="589"/>
      <c r="M1" s="589"/>
      <c r="N1" s="589"/>
      <c r="O1" s="589"/>
      <c r="P1" s="589"/>
      <c r="Q1" s="589"/>
      <c r="R1" s="589"/>
      <c r="S1" s="589"/>
      <c r="T1" s="589"/>
      <c r="U1" s="589"/>
      <c r="V1" s="589"/>
      <c r="W1" s="428"/>
    </row>
    <row r="2" spans="1:23">
      <c r="A2" s="590" t="s">
        <v>0</v>
      </c>
      <c r="B2" s="590" t="s">
        <v>484</v>
      </c>
      <c r="C2" s="590" t="s">
        <v>485</v>
      </c>
      <c r="D2" s="590"/>
      <c r="E2" s="590"/>
      <c r="F2" s="590"/>
      <c r="G2" s="590"/>
      <c r="H2" s="590"/>
      <c r="I2" s="590"/>
      <c r="J2" s="590"/>
      <c r="K2" s="590"/>
      <c r="L2" s="590"/>
      <c r="M2" s="590"/>
      <c r="N2" s="590"/>
      <c r="O2" s="590"/>
      <c r="P2" s="590"/>
      <c r="Q2" s="590"/>
      <c r="R2" s="590"/>
      <c r="S2" s="590"/>
      <c r="T2" s="590"/>
      <c r="U2" s="590"/>
      <c r="V2" s="590"/>
      <c r="W2" s="428"/>
    </row>
    <row r="3" spans="1:23" ht="15" customHeight="1">
      <c r="A3" s="590"/>
      <c r="B3" s="590"/>
      <c r="C3" s="429">
        <v>1</v>
      </c>
      <c r="D3" s="429">
        <v>2</v>
      </c>
      <c r="E3" s="429">
        <v>3</v>
      </c>
      <c r="F3" s="429">
        <v>4</v>
      </c>
      <c r="G3" s="429">
        <v>5</v>
      </c>
      <c r="H3" s="429">
        <v>6</v>
      </c>
      <c r="I3" s="429">
        <v>7</v>
      </c>
      <c r="J3" s="429">
        <v>8</v>
      </c>
      <c r="K3" s="429">
        <v>9</v>
      </c>
      <c r="L3" s="429">
        <v>10</v>
      </c>
      <c r="M3" s="429">
        <v>11</v>
      </c>
      <c r="N3" s="429">
        <v>12</v>
      </c>
      <c r="O3" s="429">
        <v>13</v>
      </c>
      <c r="P3" s="429">
        <v>14</v>
      </c>
      <c r="Q3" s="429">
        <v>15</v>
      </c>
      <c r="R3" s="429">
        <v>16</v>
      </c>
      <c r="S3" s="429">
        <v>17</v>
      </c>
      <c r="T3" s="429">
        <v>18</v>
      </c>
      <c r="U3" s="429">
        <v>19</v>
      </c>
      <c r="V3" s="591" t="s">
        <v>486</v>
      </c>
      <c r="W3" s="428"/>
    </row>
    <row r="4" spans="1:23" ht="120.75" customHeight="1">
      <c r="A4" s="590"/>
      <c r="B4" s="590"/>
      <c r="C4" s="430" t="s">
        <v>487</v>
      </c>
      <c r="D4" s="430" t="s">
        <v>488</v>
      </c>
      <c r="E4" s="430" t="s">
        <v>489</v>
      </c>
      <c r="F4" s="430" t="s">
        <v>490</v>
      </c>
      <c r="G4" s="430" t="s">
        <v>491</v>
      </c>
      <c r="H4" s="430" t="s">
        <v>492</v>
      </c>
      <c r="I4" s="430" t="s">
        <v>493</v>
      </c>
      <c r="J4" s="430" t="s">
        <v>494</v>
      </c>
      <c r="K4" s="430" t="s">
        <v>495</v>
      </c>
      <c r="L4" s="430" t="s">
        <v>496</v>
      </c>
      <c r="M4" s="430" t="s">
        <v>497</v>
      </c>
      <c r="N4" s="430" t="s">
        <v>498</v>
      </c>
      <c r="O4" s="430" t="s">
        <v>499</v>
      </c>
      <c r="P4" s="430" t="s">
        <v>500</v>
      </c>
      <c r="Q4" s="430" t="s">
        <v>501</v>
      </c>
      <c r="R4" s="430" t="s">
        <v>502</v>
      </c>
      <c r="S4" s="430" t="s">
        <v>503</v>
      </c>
      <c r="T4" s="430" t="s">
        <v>504</v>
      </c>
      <c r="U4" s="430" t="s">
        <v>505</v>
      </c>
      <c r="V4" s="590"/>
      <c r="W4" s="428"/>
    </row>
    <row r="5" spans="1:23" s="365" customFormat="1" ht="18" customHeight="1">
      <c r="A5" s="588" t="s">
        <v>609</v>
      </c>
      <c r="B5" s="588"/>
      <c r="C5" s="431">
        <f t="shared" ref="C5:U5" si="0">COUNTIF(C6:C10,"Đạt")</f>
        <v>5</v>
      </c>
      <c r="D5" s="431">
        <f t="shared" si="0"/>
        <v>0</v>
      </c>
      <c r="E5" s="431">
        <f t="shared" si="0"/>
        <v>0</v>
      </c>
      <c r="F5" s="431">
        <f t="shared" si="0"/>
        <v>5</v>
      </c>
      <c r="G5" s="431">
        <f t="shared" si="0"/>
        <v>1</v>
      </c>
      <c r="H5" s="431">
        <f t="shared" si="0"/>
        <v>0</v>
      </c>
      <c r="I5" s="431">
        <f t="shared" si="0"/>
        <v>4</v>
      </c>
      <c r="J5" s="431">
        <f t="shared" si="0"/>
        <v>4</v>
      </c>
      <c r="K5" s="431">
        <f t="shared" si="0"/>
        <v>4</v>
      </c>
      <c r="L5" s="431">
        <f t="shared" si="0"/>
        <v>0</v>
      </c>
      <c r="M5" s="431">
        <f t="shared" si="0"/>
        <v>1</v>
      </c>
      <c r="N5" s="431">
        <f t="shared" si="0"/>
        <v>5</v>
      </c>
      <c r="O5" s="431">
        <f t="shared" si="0"/>
        <v>1</v>
      </c>
      <c r="P5" s="431">
        <f t="shared" si="0"/>
        <v>5</v>
      </c>
      <c r="Q5" s="431">
        <f t="shared" si="0"/>
        <v>2</v>
      </c>
      <c r="R5" s="431">
        <f t="shared" si="0"/>
        <v>2</v>
      </c>
      <c r="S5" s="431">
        <f t="shared" si="0"/>
        <v>0</v>
      </c>
      <c r="T5" s="431">
        <f t="shared" si="0"/>
        <v>2</v>
      </c>
      <c r="U5" s="431">
        <f t="shared" si="0"/>
        <v>4</v>
      </c>
      <c r="V5" s="432"/>
      <c r="W5" s="433"/>
    </row>
    <row r="6" spans="1:23" s="361" customFormat="1" ht="18" customHeight="1">
      <c r="A6" s="434">
        <v>1</v>
      </c>
      <c r="B6" s="367" t="s">
        <v>535</v>
      </c>
      <c r="C6" s="368" t="s">
        <v>507</v>
      </c>
      <c r="D6" s="369" t="s">
        <v>509</v>
      </c>
      <c r="E6" s="369" t="s">
        <v>509</v>
      </c>
      <c r="F6" s="368" t="s">
        <v>507</v>
      </c>
      <c r="G6" s="369" t="s">
        <v>509</v>
      </c>
      <c r="H6" s="370" t="s">
        <v>509</v>
      </c>
      <c r="I6" s="368" t="s">
        <v>509</v>
      </c>
      <c r="J6" s="368" t="s">
        <v>507</v>
      </c>
      <c r="K6" s="370" t="s">
        <v>509</v>
      </c>
      <c r="L6" s="369" t="s">
        <v>509</v>
      </c>
      <c r="M6" s="371" t="s">
        <v>509</v>
      </c>
      <c r="N6" s="368" t="s">
        <v>507</v>
      </c>
      <c r="O6" s="369" t="s">
        <v>507</v>
      </c>
      <c r="P6" s="368" t="s">
        <v>507</v>
      </c>
      <c r="Q6" s="370" t="s">
        <v>507</v>
      </c>
      <c r="R6" s="370" t="s">
        <v>507</v>
      </c>
      <c r="S6" s="370" t="s">
        <v>509</v>
      </c>
      <c r="T6" s="368" t="s">
        <v>507</v>
      </c>
      <c r="U6" s="370" t="s">
        <v>509</v>
      </c>
      <c r="V6" s="352">
        <f>COUNTIF(C6:U6,"Đạt")</f>
        <v>9</v>
      </c>
      <c r="W6" s="435"/>
    </row>
    <row r="7" spans="1:23" s="361" customFormat="1" ht="18" customHeight="1">
      <c r="A7" s="434">
        <v>2</v>
      </c>
      <c r="B7" s="436" t="s">
        <v>233</v>
      </c>
      <c r="C7" s="368" t="s">
        <v>507</v>
      </c>
      <c r="D7" s="369" t="s">
        <v>509</v>
      </c>
      <c r="E7" s="369" t="s">
        <v>509</v>
      </c>
      <c r="F7" s="368" t="s">
        <v>507</v>
      </c>
      <c r="G7" s="369" t="s">
        <v>509</v>
      </c>
      <c r="H7" s="370" t="s">
        <v>509</v>
      </c>
      <c r="I7" s="368" t="s">
        <v>507</v>
      </c>
      <c r="J7" s="368" t="s">
        <v>509</v>
      </c>
      <c r="K7" s="370" t="s">
        <v>507</v>
      </c>
      <c r="L7" s="369" t="s">
        <v>509</v>
      </c>
      <c r="M7" s="371" t="s">
        <v>507</v>
      </c>
      <c r="N7" s="368" t="s">
        <v>507</v>
      </c>
      <c r="O7" s="369" t="s">
        <v>509</v>
      </c>
      <c r="P7" s="368" t="s">
        <v>507</v>
      </c>
      <c r="Q7" s="370" t="s">
        <v>507</v>
      </c>
      <c r="R7" s="370" t="s">
        <v>509</v>
      </c>
      <c r="S7" s="370" t="s">
        <v>509</v>
      </c>
      <c r="T7" s="368" t="s">
        <v>509</v>
      </c>
      <c r="U7" s="370" t="s">
        <v>507</v>
      </c>
      <c r="V7" s="352">
        <f>COUNTIF(C7:U7,"Đạt")</f>
        <v>9</v>
      </c>
      <c r="W7" s="435"/>
    </row>
    <row r="8" spans="1:23" ht="18" customHeight="1">
      <c r="A8" s="434">
        <v>3</v>
      </c>
      <c r="B8" s="367" t="s">
        <v>536</v>
      </c>
      <c r="C8" s="357" t="s">
        <v>507</v>
      </c>
      <c r="D8" s="358" t="s">
        <v>509</v>
      </c>
      <c r="E8" s="358" t="s">
        <v>509</v>
      </c>
      <c r="F8" s="358" t="s">
        <v>507</v>
      </c>
      <c r="G8" s="358" t="s">
        <v>507</v>
      </c>
      <c r="H8" s="358" t="s">
        <v>509</v>
      </c>
      <c r="I8" s="362" t="s">
        <v>507</v>
      </c>
      <c r="J8" s="358" t="s">
        <v>507</v>
      </c>
      <c r="K8" s="358" t="s">
        <v>507</v>
      </c>
      <c r="L8" s="357" t="s">
        <v>509</v>
      </c>
      <c r="M8" s="377" t="s">
        <v>509</v>
      </c>
      <c r="N8" s="358" t="s">
        <v>507</v>
      </c>
      <c r="O8" s="358" t="s">
        <v>509</v>
      </c>
      <c r="P8" s="358" t="s">
        <v>507</v>
      </c>
      <c r="Q8" s="358" t="s">
        <v>509</v>
      </c>
      <c r="R8" s="358" t="s">
        <v>509</v>
      </c>
      <c r="S8" s="358" t="s">
        <v>509</v>
      </c>
      <c r="T8" s="358" t="s">
        <v>509</v>
      </c>
      <c r="U8" s="358" t="s">
        <v>507</v>
      </c>
      <c r="V8" s="352">
        <f>COUNTIF(C8:U8,"Đạt")</f>
        <v>9</v>
      </c>
      <c r="W8" s="428"/>
    </row>
    <row r="9" spans="1:23" ht="18" customHeight="1">
      <c r="A9" s="434">
        <v>4</v>
      </c>
      <c r="B9" s="367" t="s">
        <v>240</v>
      </c>
      <c r="C9" s="368" t="s">
        <v>507</v>
      </c>
      <c r="D9" s="369" t="s">
        <v>509</v>
      </c>
      <c r="E9" s="369" t="s">
        <v>509</v>
      </c>
      <c r="F9" s="368" t="s">
        <v>507</v>
      </c>
      <c r="G9" s="369" t="s">
        <v>509</v>
      </c>
      <c r="H9" s="370" t="s">
        <v>509</v>
      </c>
      <c r="I9" s="368" t="s">
        <v>507</v>
      </c>
      <c r="J9" s="368" t="s">
        <v>507</v>
      </c>
      <c r="K9" s="370" t="s">
        <v>507</v>
      </c>
      <c r="L9" s="369" t="s">
        <v>509</v>
      </c>
      <c r="M9" s="371" t="s">
        <v>509</v>
      </c>
      <c r="N9" s="368" t="s">
        <v>507</v>
      </c>
      <c r="O9" s="369" t="s">
        <v>509</v>
      </c>
      <c r="P9" s="368" t="s">
        <v>507</v>
      </c>
      <c r="Q9" s="370" t="s">
        <v>509</v>
      </c>
      <c r="R9" s="370" t="s">
        <v>509</v>
      </c>
      <c r="S9" s="370" t="s">
        <v>509</v>
      </c>
      <c r="T9" s="368" t="s">
        <v>507</v>
      </c>
      <c r="U9" s="370" t="s">
        <v>507</v>
      </c>
      <c r="V9" s="352">
        <f>COUNTIF(C9:U9,"Đạt")</f>
        <v>9</v>
      </c>
      <c r="W9" s="428"/>
    </row>
    <row r="10" spans="1:23" ht="18" customHeight="1">
      <c r="A10" s="434">
        <v>5</v>
      </c>
      <c r="B10" s="367" t="s">
        <v>537</v>
      </c>
      <c r="C10" s="368" t="s">
        <v>507</v>
      </c>
      <c r="D10" s="369" t="s">
        <v>509</v>
      </c>
      <c r="E10" s="369" t="s">
        <v>509</v>
      </c>
      <c r="F10" s="368" t="s">
        <v>507</v>
      </c>
      <c r="G10" s="369" t="s">
        <v>509</v>
      </c>
      <c r="H10" s="370" t="s">
        <v>509</v>
      </c>
      <c r="I10" s="368" t="s">
        <v>507</v>
      </c>
      <c r="J10" s="368" t="s">
        <v>507</v>
      </c>
      <c r="K10" s="370" t="s">
        <v>507</v>
      </c>
      <c r="L10" s="369" t="s">
        <v>509</v>
      </c>
      <c r="M10" s="371" t="s">
        <v>509</v>
      </c>
      <c r="N10" s="368" t="s">
        <v>507</v>
      </c>
      <c r="O10" s="369" t="s">
        <v>509</v>
      </c>
      <c r="P10" s="368" t="s">
        <v>507</v>
      </c>
      <c r="Q10" s="370" t="s">
        <v>509</v>
      </c>
      <c r="R10" s="370" t="s">
        <v>507</v>
      </c>
      <c r="S10" s="370" t="s">
        <v>509</v>
      </c>
      <c r="T10" s="372" t="s">
        <v>509</v>
      </c>
      <c r="U10" s="370" t="s">
        <v>507</v>
      </c>
      <c r="V10" s="352">
        <f>COUNTIF(C10:U10,"Đạt")</f>
        <v>9</v>
      </c>
      <c r="W10" s="428"/>
    </row>
    <row r="11" spans="1:23" ht="18" customHeight="1">
      <c r="A11" s="592" t="s">
        <v>610</v>
      </c>
      <c r="B11" s="593"/>
      <c r="C11" s="431">
        <f t="shared" ref="C11:U11" si="1">COUNTIF(C12:C15,"Đạt")</f>
        <v>4</v>
      </c>
      <c r="D11" s="431">
        <f t="shared" si="1"/>
        <v>0</v>
      </c>
      <c r="E11" s="431">
        <f t="shared" si="1"/>
        <v>2</v>
      </c>
      <c r="F11" s="431">
        <f t="shared" si="1"/>
        <v>4</v>
      </c>
      <c r="G11" s="431">
        <f t="shared" si="1"/>
        <v>1</v>
      </c>
      <c r="H11" s="431">
        <f t="shared" si="1"/>
        <v>0</v>
      </c>
      <c r="I11" s="431">
        <f t="shared" si="1"/>
        <v>1</v>
      </c>
      <c r="J11" s="431">
        <f t="shared" si="1"/>
        <v>4</v>
      </c>
      <c r="K11" s="431">
        <f t="shared" si="1"/>
        <v>2</v>
      </c>
      <c r="L11" s="431">
        <f t="shared" si="1"/>
        <v>0</v>
      </c>
      <c r="M11" s="431">
        <f t="shared" si="1"/>
        <v>0</v>
      </c>
      <c r="N11" s="431">
        <f t="shared" si="1"/>
        <v>4</v>
      </c>
      <c r="O11" s="431">
        <f t="shared" si="1"/>
        <v>3</v>
      </c>
      <c r="P11" s="431">
        <f t="shared" si="1"/>
        <v>4</v>
      </c>
      <c r="Q11" s="431">
        <f t="shared" si="1"/>
        <v>3</v>
      </c>
      <c r="R11" s="431">
        <f t="shared" si="1"/>
        <v>1</v>
      </c>
      <c r="S11" s="431">
        <f t="shared" si="1"/>
        <v>0</v>
      </c>
      <c r="T11" s="431">
        <f t="shared" si="1"/>
        <v>0</v>
      </c>
      <c r="U11" s="431">
        <f t="shared" si="1"/>
        <v>3</v>
      </c>
      <c r="V11" s="432"/>
      <c r="W11" s="428"/>
    </row>
    <row r="12" spans="1:23" ht="18" customHeight="1">
      <c r="A12" s="362">
        <v>1</v>
      </c>
      <c r="B12" s="416" t="s">
        <v>605</v>
      </c>
      <c r="C12" s="450" t="s">
        <v>507</v>
      </c>
      <c r="D12" s="450" t="s">
        <v>509</v>
      </c>
      <c r="E12" s="450" t="s">
        <v>509</v>
      </c>
      <c r="F12" s="450" t="s">
        <v>507</v>
      </c>
      <c r="G12" s="450" t="s">
        <v>509</v>
      </c>
      <c r="H12" s="450" t="s">
        <v>509</v>
      </c>
      <c r="I12" s="450" t="s">
        <v>508</v>
      </c>
      <c r="J12" s="450" t="s">
        <v>507</v>
      </c>
      <c r="K12" s="450" t="s">
        <v>507</v>
      </c>
      <c r="L12" s="450" t="s">
        <v>509</v>
      </c>
      <c r="M12" s="450" t="s">
        <v>509</v>
      </c>
      <c r="N12" s="450" t="s">
        <v>507</v>
      </c>
      <c r="O12" s="450" t="s">
        <v>507</v>
      </c>
      <c r="P12" s="450" t="s">
        <v>507</v>
      </c>
      <c r="Q12" s="450" t="s">
        <v>507</v>
      </c>
      <c r="R12" s="450" t="s">
        <v>509</v>
      </c>
      <c r="S12" s="450" t="s">
        <v>509</v>
      </c>
      <c r="T12" s="450" t="s">
        <v>509</v>
      </c>
      <c r="U12" s="450" t="s">
        <v>507</v>
      </c>
      <c r="V12" s="352">
        <f>COUNTIF(C12:U12,"Đạt")</f>
        <v>9</v>
      </c>
      <c r="W12" s="428"/>
    </row>
    <row r="13" spans="1:23" ht="18" customHeight="1">
      <c r="A13" s="362">
        <v>2</v>
      </c>
      <c r="B13" s="416" t="s">
        <v>425</v>
      </c>
      <c r="C13" s="450" t="s">
        <v>507</v>
      </c>
      <c r="D13" s="450" t="s">
        <v>509</v>
      </c>
      <c r="E13" s="450" t="s">
        <v>507</v>
      </c>
      <c r="F13" s="450" t="s">
        <v>507</v>
      </c>
      <c r="G13" s="450" t="s">
        <v>507</v>
      </c>
      <c r="H13" s="450" t="s">
        <v>509</v>
      </c>
      <c r="I13" s="450" t="s">
        <v>508</v>
      </c>
      <c r="J13" s="450" t="s">
        <v>507</v>
      </c>
      <c r="K13" s="450" t="s">
        <v>507</v>
      </c>
      <c r="L13" s="450" t="s">
        <v>509</v>
      </c>
      <c r="M13" s="450" t="s">
        <v>509</v>
      </c>
      <c r="N13" s="450" t="s">
        <v>507</v>
      </c>
      <c r="O13" s="450" t="s">
        <v>509</v>
      </c>
      <c r="P13" s="450" t="s">
        <v>507</v>
      </c>
      <c r="Q13" s="450" t="s">
        <v>509</v>
      </c>
      <c r="R13" s="450" t="s">
        <v>509</v>
      </c>
      <c r="S13" s="450" t="s">
        <v>509</v>
      </c>
      <c r="T13" s="450" t="s">
        <v>509</v>
      </c>
      <c r="U13" s="450" t="s">
        <v>507</v>
      </c>
      <c r="V13" s="352">
        <f>COUNTIF(C13:U13,"Đạt")</f>
        <v>9</v>
      </c>
      <c r="W13" s="428"/>
    </row>
    <row r="14" spans="1:23" ht="18" customHeight="1">
      <c r="A14" s="362">
        <v>3</v>
      </c>
      <c r="B14" s="416" t="s">
        <v>606</v>
      </c>
      <c r="C14" s="450" t="s">
        <v>507</v>
      </c>
      <c r="D14" s="450" t="s">
        <v>509</v>
      </c>
      <c r="E14" s="450" t="s">
        <v>509</v>
      </c>
      <c r="F14" s="450" t="s">
        <v>507</v>
      </c>
      <c r="G14" s="450" t="s">
        <v>509</v>
      </c>
      <c r="H14" s="450" t="s">
        <v>509</v>
      </c>
      <c r="I14" s="450" t="s">
        <v>507</v>
      </c>
      <c r="J14" s="450" t="s">
        <v>507</v>
      </c>
      <c r="K14" s="450" t="s">
        <v>509</v>
      </c>
      <c r="L14" s="450" t="s">
        <v>509</v>
      </c>
      <c r="M14" s="450" t="s">
        <v>509</v>
      </c>
      <c r="N14" s="450" t="s">
        <v>507</v>
      </c>
      <c r="O14" s="450" t="s">
        <v>507</v>
      </c>
      <c r="P14" s="450" t="s">
        <v>507</v>
      </c>
      <c r="Q14" s="450" t="s">
        <v>507</v>
      </c>
      <c r="R14" s="450" t="s">
        <v>507</v>
      </c>
      <c r="S14" s="450" t="s">
        <v>509</v>
      </c>
      <c r="T14" s="450" t="s">
        <v>509</v>
      </c>
      <c r="U14" s="450" t="s">
        <v>509</v>
      </c>
      <c r="V14" s="352">
        <f>COUNTIF(C14:U14,"Đạt")</f>
        <v>9</v>
      </c>
      <c r="W14" s="428"/>
    </row>
    <row r="15" spans="1:23" ht="18" customHeight="1">
      <c r="A15" s="362">
        <v>4</v>
      </c>
      <c r="B15" s="416" t="s">
        <v>428</v>
      </c>
      <c r="C15" s="450" t="s">
        <v>507</v>
      </c>
      <c r="D15" s="450" t="s">
        <v>509</v>
      </c>
      <c r="E15" s="450" t="s">
        <v>507</v>
      </c>
      <c r="F15" s="450" t="s">
        <v>507</v>
      </c>
      <c r="G15" s="450" t="s">
        <v>509</v>
      </c>
      <c r="H15" s="450" t="s">
        <v>509</v>
      </c>
      <c r="I15" s="450" t="s">
        <v>508</v>
      </c>
      <c r="J15" s="450" t="s">
        <v>507</v>
      </c>
      <c r="K15" s="450" t="s">
        <v>509</v>
      </c>
      <c r="L15" s="450" t="s">
        <v>509</v>
      </c>
      <c r="M15" s="450" t="s">
        <v>509</v>
      </c>
      <c r="N15" s="450" t="s">
        <v>507</v>
      </c>
      <c r="O15" s="450" t="s">
        <v>507</v>
      </c>
      <c r="P15" s="450" t="s">
        <v>507</v>
      </c>
      <c r="Q15" s="450" t="s">
        <v>507</v>
      </c>
      <c r="R15" s="450" t="s">
        <v>509</v>
      </c>
      <c r="S15" s="450" t="s">
        <v>509</v>
      </c>
      <c r="T15" s="450" t="s">
        <v>509</v>
      </c>
      <c r="U15" s="450" t="s">
        <v>507</v>
      </c>
      <c r="V15" s="352">
        <f>COUNTIF(C15:U15,"Đạt")</f>
        <v>9</v>
      </c>
      <c r="W15" s="428"/>
    </row>
    <row r="16" spans="1:23" ht="18" customHeight="1">
      <c r="A16" s="588" t="s">
        <v>611</v>
      </c>
      <c r="B16" s="588"/>
      <c r="C16" s="431">
        <f>COUNTIF(C17:C19,"Đạt")</f>
        <v>3</v>
      </c>
      <c r="D16" s="431">
        <f t="shared" ref="D16:U16" si="2">COUNTIF(D17:D19,"Đạt")</f>
        <v>0</v>
      </c>
      <c r="E16" s="431">
        <f t="shared" si="2"/>
        <v>2</v>
      </c>
      <c r="F16" s="431">
        <f t="shared" si="2"/>
        <v>3</v>
      </c>
      <c r="G16" s="431">
        <f t="shared" si="2"/>
        <v>0</v>
      </c>
      <c r="H16" s="431">
        <f t="shared" si="2"/>
        <v>0</v>
      </c>
      <c r="I16" s="431">
        <f t="shared" si="2"/>
        <v>1</v>
      </c>
      <c r="J16" s="431">
        <f t="shared" si="2"/>
        <v>3</v>
      </c>
      <c r="K16" s="431">
        <f t="shared" si="2"/>
        <v>3</v>
      </c>
      <c r="L16" s="431">
        <f t="shared" si="2"/>
        <v>0</v>
      </c>
      <c r="M16" s="431">
        <f t="shared" si="2"/>
        <v>0</v>
      </c>
      <c r="N16" s="431">
        <f t="shared" si="2"/>
        <v>3</v>
      </c>
      <c r="O16" s="431">
        <f t="shared" si="2"/>
        <v>0</v>
      </c>
      <c r="P16" s="431">
        <f t="shared" si="2"/>
        <v>3</v>
      </c>
      <c r="Q16" s="431">
        <f t="shared" si="2"/>
        <v>3</v>
      </c>
      <c r="R16" s="431">
        <f t="shared" si="2"/>
        <v>1</v>
      </c>
      <c r="S16" s="431">
        <f t="shared" si="2"/>
        <v>0</v>
      </c>
      <c r="T16" s="431">
        <f t="shared" si="2"/>
        <v>0</v>
      </c>
      <c r="U16" s="431">
        <f t="shared" si="2"/>
        <v>2</v>
      </c>
      <c r="V16" s="432"/>
      <c r="W16" s="428"/>
    </row>
    <row r="17" spans="1:23" ht="18" customHeight="1">
      <c r="A17" s="431">
        <v>1</v>
      </c>
      <c r="B17" s="451" t="s">
        <v>329</v>
      </c>
      <c r="C17" s="452" t="s">
        <v>507</v>
      </c>
      <c r="D17" s="453" t="s">
        <v>509</v>
      </c>
      <c r="E17" s="410" t="s">
        <v>509</v>
      </c>
      <c r="F17" s="452" t="s">
        <v>507</v>
      </c>
      <c r="G17" s="452" t="s">
        <v>509</v>
      </c>
      <c r="H17" s="452" t="s">
        <v>509</v>
      </c>
      <c r="I17" s="452" t="s">
        <v>507</v>
      </c>
      <c r="J17" s="452" t="s">
        <v>507</v>
      </c>
      <c r="K17" s="452" t="s">
        <v>507</v>
      </c>
      <c r="L17" s="452" t="s">
        <v>509</v>
      </c>
      <c r="M17" s="452" t="s">
        <v>509</v>
      </c>
      <c r="N17" s="452" t="s">
        <v>507</v>
      </c>
      <c r="O17" s="452" t="s">
        <v>509</v>
      </c>
      <c r="P17" s="452" t="s">
        <v>507</v>
      </c>
      <c r="Q17" s="452" t="s">
        <v>507</v>
      </c>
      <c r="R17" s="452" t="s">
        <v>507</v>
      </c>
      <c r="S17" s="452" t="s">
        <v>509</v>
      </c>
      <c r="T17" s="452" t="s">
        <v>509</v>
      </c>
      <c r="U17" s="452" t="s">
        <v>509</v>
      </c>
      <c r="V17" s="352">
        <f>COUNTIF(C17:U17,"Đạt")</f>
        <v>9</v>
      </c>
      <c r="W17" s="428"/>
    </row>
    <row r="18" spans="1:23" ht="18" customHeight="1">
      <c r="A18" s="431">
        <v>2</v>
      </c>
      <c r="B18" s="451" t="s">
        <v>333</v>
      </c>
      <c r="C18" s="453" t="s">
        <v>507</v>
      </c>
      <c r="D18" s="453" t="s">
        <v>509</v>
      </c>
      <c r="E18" s="453" t="s">
        <v>507</v>
      </c>
      <c r="F18" s="453" t="s">
        <v>507</v>
      </c>
      <c r="G18" s="453" t="s">
        <v>509</v>
      </c>
      <c r="H18" s="453" t="s">
        <v>509</v>
      </c>
      <c r="I18" s="453" t="s">
        <v>509</v>
      </c>
      <c r="J18" s="453" t="s">
        <v>507</v>
      </c>
      <c r="K18" s="453" t="s">
        <v>507</v>
      </c>
      <c r="L18" s="453" t="s">
        <v>509</v>
      </c>
      <c r="M18" s="453" t="s">
        <v>509</v>
      </c>
      <c r="N18" s="453" t="s">
        <v>507</v>
      </c>
      <c r="O18" s="453" t="s">
        <v>509</v>
      </c>
      <c r="P18" s="453" t="s">
        <v>507</v>
      </c>
      <c r="Q18" s="453" t="s">
        <v>507</v>
      </c>
      <c r="R18" s="453" t="s">
        <v>509</v>
      </c>
      <c r="S18" s="453" t="s">
        <v>509</v>
      </c>
      <c r="T18" s="453" t="s">
        <v>509</v>
      </c>
      <c r="U18" s="453" t="s">
        <v>507</v>
      </c>
      <c r="V18" s="352">
        <f>COUNTIF(C18:U18,"Đạt")</f>
        <v>9</v>
      </c>
      <c r="W18" s="428"/>
    </row>
    <row r="19" spans="1:23" ht="18" customHeight="1">
      <c r="A19" s="437">
        <v>3</v>
      </c>
      <c r="B19" s="454" t="s">
        <v>336</v>
      </c>
      <c r="C19" s="453" t="s">
        <v>507</v>
      </c>
      <c r="D19" s="455" t="s">
        <v>509</v>
      </c>
      <c r="E19" s="455" t="s">
        <v>507</v>
      </c>
      <c r="F19" s="455" t="s">
        <v>507</v>
      </c>
      <c r="G19" s="455" t="s">
        <v>509</v>
      </c>
      <c r="H19" s="455" t="s">
        <v>509</v>
      </c>
      <c r="I19" s="455" t="s">
        <v>508</v>
      </c>
      <c r="J19" s="455" t="s">
        <v>507</v>
      </c>
      <c r="K19" s="453" t="s">
        <v>507</v>
      </c>
      <c r="L19" s="455" t="s">
        <v>509</v>
      </c>
      <c r="M19" s="455" t="s">
        <v>509</v>
      </c>
      <c r="N19" s="455" t="s">
        <v>507</v>
      </c>
      <c r="O19" s="455" t="s">
        <v>509</v>
      </c>
      <c r="P19" s="455" t="s">
        <v>507</v>
      </c>
      <c r="Q19" s="455" t="s">
        <v>507</v>
      </c>
      <c r="R19" s="455" t="s">
        <v>509</v>
      </c>
      <c r="S19" s="455" t="s">
        <v>509</v>
      </c>
      <c r="T19" s="455" t="s">
        <v>509</v>
      </c>
      <c r="U19" s="455" t="s">
        <v>507</v>
      </c>
      <c r="V19" s="352">
        <f>COUNTIF(C19:U19,"Đạt")</f>
        <v>9</v>
      </c>
      <c r="W19" s="428"/>
    </row>
    <row r="20" spans="1:23" s="399" customFormat="1" ht="18" customHeight="1">
      <c r="A20" s="588" t="s">
        <v>612</v>
      </c>
      <c r="B20" s="588"/>
      <c r="C20" s="431">
        <f>COUNTIF(C21:C22,"Đạt")</f>
        <v>2</v>
      </c>
      <c r="D20" s="431">
        <f t="shared" ref="D20:U20" si="3">COUNTIF(D21:D22,"Đạt")</f>
        <v>0</v>
      </c>
      <c r="E20" s="431">
        <f t="shared" si="3"/>
        <v>2</v>
      </c>
      <c r="F20" s="431">
        <f t="shared" si="3"/>
        <v>0</v>
      </c>
      <c r="G20" s="431">
        <f t="shared" si="3"/>
        <v>0</v>
      </c>
      <c r="H20" s="431">
        <f t="shared" si="3"/>
        <v>0</v>
      </c>
      <c r="I20" s="431">
        <f t="shared" si="3"/>
        <v>0</v>
      </c>
      <c r="J20" s="431">
        <f t="shared" si="3"/>
        <v>2</v>
      </c>
      <c r="K20" s="431">
        <f t="shared" si="3"/>
        <v>1</v>
      </c>
      <c r="L20" s="431">
        <f t="shared" si="3"/>
        <v>0</v>
      </c>
      <c r="M20" s="431">
        <f t="shared" si="3"/>
        <v>2</v>
      </c>
      <c r="N20" s="431">
        <f t="shared" si="3"/>
        <v>2</v>
      </c>
      <c r="O20" s="431">
        <f t="shared" si="3"/>
        <v>0</v>
      </c>
      <c r="P20" s="431">
        <f t="shared" si="3"/>
        <v>2</v>
      </c>
      <c r="Q20" s="431">
        <f t="shared" si="3"/>
        <v>2</v>
      </c>
      <c r="R20" s="431">
        <f t="shared" si="3"/>
        <v>1</v>
      </c>
      <c r="S20" s="431">
        <f t="shared" si="3"/>
        <v>0</v>
      </c>
      <c r="T20" s="431">
        <f t="shared" si="3"/>
        <v>0</v>
      </c>
      <c r="U20" s="431">
        <f t="shared" si="3"/>
        <v>2</v>
      </c>
      <c r="V20" s="432"/>
      <c r="W20" s="428"/>
    </row>
    <row r="21" spans="1:23" s="399" customFormat="1" ht="18" customHeight="1">
      <c r="A21" s="431">
        <v>1</v>
      </c>
      <c r="B21" s="356" t="s">
        <v>251</v>
      </c>
      <c r="C21" s="450" t="s">
        <v>507</v>
      </c>
      <c r="D21" s="450" t="s">
        <v>509</v>
      </c>
      <c r="E21" s="450" t="s">
        <v>507</v>
      </c>
      <c r="F21" s="450" t="s">
        <v>509</v>
      </c>
      <c r="G21" s="450" t="s">
        <v>509</v>
      </c>
      <c r="H21" s="450" t="s">
        <v>509</v>
      </c>
      <c r="I21" s="450" t="s">
        <v>508</v>
      </c>
      <c r="J21" s="450" t="s">
        <v>507</v>
      </c>
      <c r="K21" s="450" t="s">
        <v>507</v>
      </c>
      <c r="L21" s="450" t="s">
        <v>509</v>
      </c>
      <c r="M21" s="450" t="s">
        <v>507</v>
      </c>
      <c r="N21" s="450" t="s">
        <v>507</v>
      </c>
      <c r="O21" s="450" t="s">
        <v>509</v>
      </c>
      <c r="P21" s="450" t="s">
        <v>507</v>
      </c>
      <c r="Q21" s="450" t="s">
        <v>507</v>
      </c>
      <c r="R21" s="450" t="s">
        <v>509</v>
      </c>
      <c r="S21" s="450" t="s">
        <v>509</v>
      </c>
      <c r="T21" s="450" t="s">
        <v>509</v>
      </c>
      <c r="U21" s="450" t="s">
        <v>507</v>
      </c>
      <c r="V21" s="352">
        <f>COUNTIF(C21:U21,"Đạt")</f>
        <v>9</v>
      </c>
      <c r="W21" s="428"/>
    </row>
    <row r="22" spans="1:23" ht="18" customHeight="1">
      <c r="A22" s="438">
        <v>2</v>
      </c>
      <c r="B22" s="356" t="s">
        <v>249</v>
      </c>
      <c r="C22" s="450" t="s">
        <v>507</v>
      </c>
      <c r="D22" s="450" t="s">
        <v>509</v>
      </c>
      <c r="E22" s="450" t="s">
        <v>507</v>
      </c>
      <c r="F22" s="450" t="s">
        <v>509</v>
      </c>
      <c r="G22" s="450" t="s">
        <v>509</v>
      </c>
      <c r="H22" s="450" t="s">
        <v>509</v>
      </c>
      <c r="I22" s="450" t="s">
        <v>509</v>
      </c>
      <c r="J22" s="450" t="s">
        <v>507</v>
      </c>
      <c r="K22" s="450" t="s">
        <v>509</v>
      </c>
      <c r="L22" s="450" t="s">
        <v>509</v>
      </c>
      <c r="M22" s="450" t="s">
        <v>507</v>
      </c>
      <c r="N22" s="450" t="s">
        <v>507</v>
      </c>
      <c r="O22" s="450" t="s">
        <v>509</v>
      </c>
      <c r="P22" s="450" t="s">
        <v>507</v>
      </c>
      <c r="Q22" s="450" t="s">
        <v>507</v>
      </c>
      <c r="R22" s="450" t="s">
        <v>507</v>
      </c>
      <c r="S22" s="450" t="s">
        <v>509</v>
      </c>
      <c r="T22" s="450" t="s">
        <v>509</v>
      </c>
      <c r="U22" s="450" t="s">
        <v>507</v>
      </c>
      <c r="V22" s="431">
        <f>COUNTIF(C22:U22,"Đạt")</f>
        <v>9</v>
      </c>
      <c r="W22" s="428"/>
    </row>
    <row r="23" spans="1:23" ht="18" customHeight="1">
      <c r="A23" s="588" t="s">
        <v>613</v>
      </c>
      <c r="B23" s="588"/>
      <c r="C23" s="431">
        <f t="shared" ref="C23:U23" si="4">COUNTIF(C24:C25,"Đạt")</f>
        <v>2</v>
      </c>
      <c r="D23" s="431">
        <f t="shared" si="4"/>
        <v>0</v>
      </c>
      <c r="E23" s="431">
        <f t="shared" si="4"/>
        <v>0</v>
      </c>
      <c r="F23" s="431">
        <f t="shared" si="4"/>
        <v>2</v>
      </c>
      <c r="G23" s="431">
        <f t="shared" si="4"/>
        <v>0</v>
      </c>
      <c r="H23" s="431">
        <f t="shared" si="4"/>
        <v>0</v>
      </c>
      <c r="I23" s="431">
        <f t="shared" si="4"/>
        <v>1</v>
      </c>
      <c r="J23" s="431">
        <f t="shared" si="4"/>
        <v>2</v>
      </c>
      <c r="K23" s="431">
        <f t="shared" si="4"/>
        <v>2</v>
      </c>
      <c r="L23" s="431">
        <f t="shared" si="4"/>
        <v>0</v>
      </c>
      <c r="M23" s="431">
        <f t="shared" si="4"/>
        <v>0</v>
      </c>
      <c r="N23" s="431">
        <f t="shared" si="4"/>
        <v>2</v>
      </c>
      <c r="O23" s="431">
        <f t="shared" si="4"/>
        <v>2</v>
      </c>
      <c r="P23" s="431">
        <f t="shared" si="4"/>
        <v>2</v>
      </c>
      <c r="Q23" s="431">
        <f t="shared" si="4"/>
        <v>2</v>
      </c>
      <c r="R23" s="431">
        <f t="shared" si="4"/>
        <v>0</v>
      </c>
      <c r="S23" s="431">
        <f t="shared" si="4"/>
        <v>0</v>
      </c>
      <c r="T23" s="431">
        <f t="shared" si="4"/>
        <v>0</v>
      </c>
      <c r="U23" s="431">
        <f t="shared" si="4"/>
        <v>1</v>
      </c>
      <c r="V23" s="432"/>
      <c r="W23" s="428"/>
    </row>
    <row r="24" spans="1:23" ht="18" customHeight="1">
      <c r="A24" s="438">
        <v>1</v>
      </c>
      <c r="B24" s="417" t="s">
        <v>311</v>
      </c>
      <c r="C24" s="392" t="s">
        <v>507</v>
      </c>
      <c r="D24" s="392" t="s">
        <v>509</v>
      </c>
      <c r="E24" s="392" t="s">
        <v>509</v>
      </c>
      <c r="F24" s="392" t="s">
        <v>507</v>
      </c>
      <c r="G24" s="392" t="s">
        <v>509</v>
      </c>
      <c r="H24" s="392" t="s">
        <v>509</v>
      </c>
      <c r="I24" s="364" t="s">
        <v>508</v>
      </c>
      <c r="J24" s="392" t="s">
        <v>507</v>
      </c>
      <c r="K24" s="388" t="s">
        <v>507</v>
      </c>
      <c r="L24" s="388" t="s">
        <v>509</v>
      </c>
      <c r="M24" s="374" t="s">
        <v>509</v>
      </c>
      <c r="N24" s="395" t="s">
        <v>507</v>
      </c>
      <c r="O24" s="364" t="s">
        <v>507</v>
      </c>
      <c r="P24" s="388" t="s">
        <v>507</v>
      </c>
      <c r="Q24" s="364" t="s">
        <v>507</v>
      </c>
      <c r="R24" s="392" t="s">
        <v>509</v>
      </c>
      <c r="S24" s="374" t="s">
        <v>509</v>
      </c>
      <c r="T24" s="374" t="s">
        <v>509</v>
      </c>
      <c r="U24" s="392" t="s">
        <v>507</v>
      </c>
      <c r="V24" s="418">
        <f>COUNTIF(C24:U24,"Đạt")</f>
        <v>9</v>
      </c>
      <c r="W24" s="428"/>
    </row>
    <row r="25" spans="1:23" ht="18" customHeight="1">
      <c r="A25" s="438">
        <v>2</v>
      </c>
      <c r="B25" s="417" t="s">
        <v>298</v>
      </c>
      <c r="C25" s="392" t="s">
        <v>507</v>
      </c>
      <c r="D25" s="392" t="s">
        <v>509</v>
      </c>
      <c r="E25" s="392" t="s">
        <v>509</v>
      </c>
      <c r="F25" s="392" t="s">
        <v>507</v>
      </c>
      <c r="G25" s="392" t="s">
        <v>509</v>
      </c>
      <c r="H25" s="392" t="s">
        <v>509</v>
      </c>
      <c r="I25" s="420" t="s">
        <v>507</v>
      </c>
      <c r="J25" s="392" t="s">
        <v>507</v>
      </c>
      <c r="K25" s="388" t="s">
        <v>507</v>
      </c>
      <c r="L25" s="388" t="s">
        <v>509</v>
      </c>
      <c r="M25" s="374" t="s">
        <v>509</v>
      </c>
      <c r="N25" s="374" t="s">
        <v>507</v>
      </c>
      <c r="O25" s="364" t="s">
        <v>507</v>
      </c>
      <c r="P25" s="388" t="s">
        <v>507</v>
      </c>
      <c r="Q25" s="421" t="s">
        <v>507</v>
      </c>
      <c r="R25" s="421" t="s">
        <v>509</v>
      </c>
      <c r="S25" s="364" t="s">
        <v>509</v>
      </c>
      <c r="T25" s="374" t="s">
        <v>509</v>
      </c>
      <c r="U25" s="374" t="s">
        <v>509</v>
      </c>
      <c r="V25" s="418">
        <f>COUNTIF(C25:U25,"Đạt")</f>
        <v>9</v>
      </c>
      <c r="W25" s="428"/>
    </row>
    <row r="26" spans="1:23">
      <c r="A26" s="588" t="s">
        <v>550</v>
      </c>
      <c r="B26" s="588"/>
      <c r="C26" s="431">
        <f>COUNTIF(C27:C28,"Đạt")</f>
        <v>1</v>
      </c>
      <c r="D26" s="431">
        <f t="shared" ref="D26:U26" si="5">COUNTIF(D27:D28,"Đạt")</f>
        <v>0</v>
      </c>
      <c r="E26" s="431">
        <f t="shared" si="5"/>
        <v>0</v>
      </c>
      <c r="F26" s="431">
        <f t="shared" si="5"/>
        <v>1</v>
      </c>
      <c r="G26" s="431">
        <f t="shared" si="5"/>
        <v>1</v>
      </c>
      <c r="H26" s="431">
        <f t="shared" si="5"/>
        <v>0</v>
      </c>
      <c r="I26" s="431">
        <f t="shared" si="5"/>
        <v>0</v>
      </c>
      <c r="J26" s="431">
        <f t="shared" si="5"/>
        <v>1</v>
      </c>
      <c r="K26" s="431">
        <f t="shared" si="5"/>
        <v>1</v>
      </c>
      <c r="L26" s="431">
        <f t="shared" si="5"/>
        <v>0</v>
      </c>
      <c r="M26" s="431">
        <f t="shared" si="5"/>
        <v>0</v>
      </c>
      <c r="N26" s="431">
        <f t="shared" si="5"/>
        <v>1</v>
      </c>
      <c r="O26" s="431">
        <f t="shared" si="5"/>
        <v>0</v>
      </c>
      <c r="P26" s="431">
        <f t="shared" si="5"/>
        <v>1</v>
      </c>
      <c r="Q26" s="431">
        <f t="shared" si="5"/>
        <v>1</v>
      </c>
      <c r="R26" s="431">
        <f t="shared" si="5"/>
        <v>0</v>
      </c>
      <c r="S26" s="431">
        <f t="shared" si="5"/>
        <v>0</v>
      </c>
      <c r="T26" s="431">
        <f t="shared" si="5"/>
        <v>0</v>
      </c>
      <c r="U26" s="431">
        <f t="shared" si="5"/>
        <v>1</v>
      </c>
      <c r="V26" s="439"/>
    </row>
    <row r="27" spans="1:23">
      <c r="A27" s="440">
        <v>1</v>
      </c>
      <c r="B27" s="456" t="s">
        <v>447</v>
      </c>
      <c r="C27" s="457" t="s">
        <v>507</v>
      </c>
      <c r="D27" s="457" t="s">
        <v>509</v>
      </c>
      <c r="E27" s="457" t="s">
        <v>509</v>
      </c>
      <c r="F27" s="457" t="s">
        <v>507</v>
      </c>
      <c r="G27" s="457" t="s">
        <v>507</v>
      </c>
      <c r="H27" s="457" t="s">
        <v>509</v>
      </c>
      <c r="I27" s="457" t="s">
        <v>509</v>
      </c>
      <c r="J27" s="457" t="s">
        <v>507</v>
      </c>
      <c r="K27" s="457" t="s">
        <v>507</v>
      </c>
      <c r="L27" s="457" t="s">
        <v>509</v>
      </c>
      <c r="M27" s="457" t="s">
        <v>509</v>
      </c>
      <c r="N27" s="457" t="s">
        <v>507</v>
      </c>
      <c r="O27" s="457" t="s">
        <v>509</v>
      </c>
      <c r="P27" s="457" t="s">
        <v>507</v>
      </c>
      <c r="Q27" s="457" t="s">
        <v>507</v>
      </c>
      <c r="R27" s="457" t="s">
        <v>509</v>
      </c>
      <c r="S27" s="457" t="s">
        <v>509</v>
      </c>
      <c r="T27" s="457" t="s">
        <v>509</v>
      </c>
      <c r="U27" s="457" t="s">
        <v>507</v>
      </c>
      <c r="V27" s="418">
        <f>COUNTIF(C27:U27,"Đạt")</f>
        <v>9</v>
      </c>
    </row>
  </sheetData>
  <mergeCells count="11">
    <mergeCell ref="A11:B11"/>
    <mergeCell ref="A16:B16"/>
    <mergeCell ref="A20:B20"/>
    <mergeCell ref="A23:B23"/>
    <mergeCell ref="A26:B26"/>
    <mergeCell ref="A5:B5"/>
    <mergeCell ref="A1:V1"/>
    <mergeCell ref="A2:A4"/>
    <mergeCell ref="B2:B4"/>
    <mergeCell ref="C2:V2"/>
    <mergeCell ref="V3:V4"/>
  </mergeCells>
  <pageMargins left="0.23622047244094491" right="0.23622047244094491" top="0.6692913385826772" bottom="0.43307086614173229"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b1 MH</vt:lpstr>
      <vt:lpstr>b2 tht</vt:lpstr>
      <vt:lpstr>B3 htx</vt:lpstr>
      <vt:lpstr>b4 dn</vt:lpstr>
      <vt:lpstr>B5 gtnt</vt:lpstr>
      <vt:lpstr>b6 kmnd</vt:lpstr>
      <vt:lpstr>B 7 tc tong hop</vt:lpstr>
      <vt:lpstr>7.1 TC chi tiet</vt:lpstr>
      <vt:lpstr>7.2 xa duoi 9 tc</vt:lpstr>
      <vt:lpstr>Sheet3</vt:lpstr>
      <vt:lpstr>Sheet1</vt:lpstr>
      <vt:lpstr>Sheet2</vt:lpstr>
      <vt:lpstr>B10. Giai ngan</vt:lpstr>
      <vt:lpstr>'7.1 TC chi tiet'!Print_Titles</vt:lpstr>
      <vt:lpstr>'7.2 xa duoi 9 tc'!Print_Titles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2016-12-28T09:58:22Z</cp:lastPrinted>
  <dcterms:created xsi:type="dcterms:W3CDTF">2014-09-06T08:09:16Z</dcterms:created>
  <dcterms:modified xsi:type="dcterms:W3CDTF">2016-12-28T10:02:00Z</dcterms:modified>
</cp:coreProperties>
</file>