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.xml" ContentType="application/vnd.openxmlformats-officedocument.drawing+xml"/>
  <Override PartName="/xl/worksheets/sheet38.xml" ContentType="application/vnd.openxmlformats-officedocument.spreadsheetml.worksheet+xml"/>
  <Override PartName="/xl/drawings/drawing2.xml" ContentType="application/vnd.openxmlformats-officedocument.drawing+xml"/>
  <Override PartName="/xl/worksheets/sheet39.xml" ContentType="application/vnd.openxmlformats-officedocument.spreadsheetml.worksheet+xml"/>
  <Override PartName="/xl/drawings/drawing3.xml" ContentType="application/vnd.openxmlformats-officedocument.drawing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worksheets/sheet41.xml" ContentType="application/vnd.openxmlformats-officedocument.spreadsheetml.worksheet+xml"/>
  <Override PartName="/xl/drawings/drawing5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worksheets/sheet43.xml" ContentType="application/vnd.openxmlformats-officedocument.spreadsheetml.worksheet+xml"/>
  <Override PartName="/xl/drawings/drawing7.xml" ContentType="application/vnd.openxmlformats-officedocument.drawing+xml"/>
  <Override PartName="/xl/worksheets/sheet44.xml" ContentType="application/vnd.openxmlformats-officedocument.spreadsheetml.worksheet+xml"/>
  <Override PartName="/xl/drawings/drawing8.xml" ContentType="application/vnd.openxmlformats-officedocument.drawing+xml"/>
  <Override PartName="/xl/worksheets/sheet45.xml" ContentType="application/vnd.openxmlformats-officedocument.spreadsheetml.worksheet+xml"/>
  <Override PartName="/xl/drawings/drawing9.xml" ContentType="application/vnd.openxmlformats-officedocument.drawing+xml"/>
  <Override PartName="/xl/worksheets/sheet46.xml" ContentType="application/vnd.openxmlformats-officedocument.spreadsheetml.worksheet+xml"/>
  <Override PartName="/xl/drawings/drawing10.xml" ContentType="application/vnd.openxmlformats-officedocument.drawing+xml"/>
  <Override PartName="/xl/worksheets/sheet47.xml" ContentType="application/vnd.openxmlformats-officedocument.spreadsheetml.worksheet+xml"/>
  <Override PartName="/xl/drawings/drawing11.xml" ContentType="application/vnd.openxmlformats-officedocument.drawing+xml"/>
  <Override PartName="/xl/worksheets/sheet48.xml" ContentType="application/vnd.openxmlformats-officedocument.spreadsheetml.worksheet+xml"/>
  <Override PartName="/xl/drawings/drawing12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03.1.14" sheetId="2" r:id="rId2"/>
    <sheet name="26.12.2013" sheetId="3" r:id="rId3"/>
    <sheet name="DC KH" sheetId="4" r:id="rId4"/>
    <sheet name="19.12.2013" sheetId="5" r:id="rId5"/>
    <sheet name="12.12.2013" sheetId="6" r:id="rId6"/>
    <sheet name="05.12.2013" sheetId="7" r:id="rId7"/>
    <sheet name="28.11.2013" sheetId="8" r:id="rId8"/>
    <sheet name="21.11.2013" sheetId="9" state="hidden" r:id="rId9"/>
    <sheet name="14.11.2013" sheetId="10" state="hidden" r:id="rId10"/>
    <sheet name="07.11.2013" sheetId="11" state="hidden" r:id="rId11"/>
    <sheet name="31.10.2013 (2)" sheetId="12" state="hidden" r:id="rId12"/>
    <sheet name="31.10.2013" sheetId="13" state="hidden" r:id="rId13"/>
    <sheet name="24.10.2013" sheetId="14" state="hidden" r:id="rId14"/>
    <sheet name="17.10.2013" sheetId="15" state="hidden" r:id="rId15"/>
    <sheet name="10.10.2013" sheetId="16" state="hidden" r:id="rId16"/>
    <sheet name="03.10.2013" sheetId="17" state="hidden" r:id="rId17"/>
    <sheet name="26.9.2013" sheetId="18" state="hidden" r:id="rId18"/>
    <sheet name="19.9.2013 (2)" sheetId="19" state="hidden" r:id="rId19"/>
    <sheet name="19.9.2013" sheetId="20" state="hidden" r:id="rId20"/>
    <sheet name="12.9.2013" sheetId="21" state="hidden" r:id="rId21"/>
    <sheet name="05.9.2013" sheetId="22" r:id="rId22"/>
    <sheet name="29.8.2013 (2)" sheetId="23" state="hidden" r:id="rId23"/>
    <sheet name="29.8.2013" sheetId="24" state="hidden" r:id="rId24"/>
    <sheet name="22.8.2013" sheetId="25" state="hidden" r:id="rId25"/>
    <sheet name="15.8.2013" sheetId="26" state="hidden" r:id="rId26"/>
    <sheet name="08.8.13" sheetId="27" state="hidden" r:id="rId27"/>
    <sheet name="01.8.2013" sheetId="28" state="hidden" r:id="rId28"/>
    <sheet name="31.07" sheetId="29" state="hidden" r:id="rId29"/>
    <sheet name="25.7.2013" sheetId="30" state="hidden" r:id="rId30"/>
    <sheet name="18.7.2013" sheetId="31" state="hidden" r:id="rId31"/>
    <sheet name="11.7.2013" sheetId="32" state="hidden" r:id="rId32"/>
    <sheet name="04.7.2013" sheetId="33" state="hidden" r:id="rId33"/>
    <sheet name="5 thang" sheetId="34" state="hidden" r:id="rId34"/>
    <sheet name="xx" sheetId="35" state="hidden" r:id="rId35"/>
    <sheet name="22.6.2013" sheetId="36" state="hidden" r:id="rId36"/>
    <sheet name="LH" sheetId="37" state="hidden" r:id="rId37"/>
    <sheet name="HS" sheetId="38" state="hidden" r:id="rId38"/>
    <sheet name="VQ" sheetId="39" state="hidden" r:id="rId39"/>
    <sheet name="DT" sheetId="40" state="hidden" r:id="rId40"/>
    <sheet name="HK" sheetId="41" state="hidden" r:id="rId41"/>
    <sheet name="CL" sheetId="42" state="hidden" r:id="rId42"/>
    <sheet name="CX" sheetId="43" state="hidden" r:id="rId43"/>
    <sheet name="TH" sheetId="44" state="hidden" r:id="rId44"/>
    <sheet name="NX" sheetId="45" state="hidden" r:id="rId45"/>
    <sheet name="KA" sheetId="46" state="hidden" r:id="rId46"/>
    <sheet name="TXHL" sheetId="47" state="hidden" r:id="rId47"/>
    <sheet name="TPHT" sheetId="48" state="hidden" r:id="rId48"/>
    <sheet name="17-10" sheetId="49" state="hidden" r:id="rId49"/>
  </sheets>
  <externalReferences>
    <externalReference r:id="rId52"/>
  </externalReferences>
  <definedNames>
    <definedName name="_xlnm.Print_Area" localSheetId="27">'01.8.2013'!$A$1:$AG$21</definedName>
    <definedName name="_xlnm.Print_Area" localSheetId="1">'03.1.14'!$A$1:$AD$21</definedName>
    <definedName name="_xlnm.Print_Area" localSheetId="16">'03.10.2013'!$A$1:$T$21</definedName>
    <definedName name="_xlnm.Print_Area" localSheetId="32">'04.7.2013'!$A$1:$Z$25</definedName>
    <definedName name="_xlnm.Print_Area" localSheetId="6">'05.12.2013'!$A$1:$AD$22</definedName>
    <definedName name="_xlnm.Print_Area" localSheetId="21">'05.9.2013'!$A$1:$T$21</definedName>
    <definedName name="_xlnm.Print_Area" localSheetId="10">'07.11.2013'!$A$1:$Z$21</definedName>
    <definedName name="_xlnm.Print_Area" localSheetId="26">'08.8.13'!$A$1:$U$21</definedName>
    <definedName name="_xlnm.Print_Area" localSheetId="15">'10.10.2013'!$A$1:$T$21</definedName>
    <definedName name="_xlnm.Print_Area" localSheetId="31">'11.7.2013'!$A$1:$Z$25</definedName>
    <definedName name="_xlnm.Print_Area" localSheetId="5">'12.12.2013'!$A$1:$AD$22</definedName>
    <definedName name="_xlnm.Print_Area" localSheetId="20">'12.9.2013'!$A$1:$T$21</definedName>
    <definedName name="_xlnm.Print_Area" localSheetId="9">'14.11.2013'!$A$1:$Z$21</definedName>
    <definedName name="_xlnm.Print_Area" localSheetId="25">'15.8.2013'!$A$1:$T$21</definedName>
    <definedName name="_xlnm.Print_Area" localSheetId="14">'17.10.2013'!$A$1:$T$21</definedName>
    <definedName name="_xlnm.Print_Area" localSheetId="48">'17-10'!$A$1:$U$20</definedName>
    <definedName name="_xlnm.Print_Area" localSheetId="30">'18.7.2013'!$A$1:$Z$25</definedName>
    <definedName name="_xlnm.Print_Area" localSheetId="4">'19.12.2013'!$A$1:$AD$22</definedName>
    <definedName name="_xlnm.Print_Area" localSheetId="19">'19.9.2013'!$A$1:$T$21</definedName>
    <definedName name="_xlnm.Print_Area" localSheetId="18">'19.9.2013 (2)'!$A$1:$T$21</definedName>
    <definedName name="_xlnm.Print_Area" localSheetId="8">'21.11.2013'!$A$1:$Z$24</definedName>
    <definedName name="_xlnm.Print_Area" localSheetId="24">'22.8.2013'!$A$1:$T$21</definedName>
    <definedName name="_xlnm.Print_Area" localSheetId="13">'24.10.2013'!$A$1:$Z$21</definedName>
    <definedName name="_xlnm.Print_Area" localSheetId="29">'25.7.2013'!$A$1:$Z$25</definedName>
    <definedName name="_xlnm.Print_Area" localSheetId="2">'26.12.2013'!$A$1:$AD$23</definedName>
    <definedName name="_xlnm.Print_Area" localSheetId="17">'26.9.2013'!$A$1:$T$21</definedName>
    <definedName name="_xlnm.Print_Area" localSheetId="7">'28.11.2013'!$A$1:$Z$24</definedName>
    <definedName name="_xlnm.Print_Area" localSheetId="23">'29.8.2013'!$A$1:$T$21</definedName>
    <definedName name="_xlnm.Print_Area" localSheetId="22">'29.8.2013 (2)'!$A$1:$T$21</definedName>
    <definedName name="_xlnm.Print_Area" localSheetId="28">'31.07'!$A$1:$AF$21</definedName>
    <definedName name="_xlnm.Print_Area" localSheetId="12">'31.10.2013'!$A$1:$Z$21</definedName>
    <definedName name="_xlnm.Print_Area" localSheetId="11">'31.10.2013 (2)'!$A$1:$Z$21</definedName>
    <definedName name="_xlnm.Print_Area" localSheetId="33">'5 thang'!$A$1:$Z$21</definedName>
    <definedName name="_xlnm.Print_Area" localSheetId="0">'Dang Ky lam GTNT'!$A$1:$Q$19</definedName>
    <definedName name="_xlnm.Print_Area" localSheetId="3">'DC KH'!$A$1:$AD$22</definedName>
  </definedNames>
  <calcPr fullCalcOnLoad="1"/>
</workbook>
</file>

<file path=xl/sharedStrings.xml><?xml version="1.0" encoding="utf-8"?>
<sst xmlns="http://schemas.openxmlformats.org/spreadsheetml/2006/main" count="3090" uniqueCount="439">
  <si>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</si>
  <si>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</si>
  <si>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</si>
  <si>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</si>
  <si>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</si>
  <si>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</si>
  <si>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</si>
  <si>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</si>
  <si>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</si>
  <si>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</si>
  <si>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</si>
  <si>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</si>
  <si>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</si>
  <si>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</si>
  <si>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</si>
  <si>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</si>
  <si>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</si>
  <si>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</si>
  <si>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</si>
  <si>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</si>
  <si>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</si>
  <si>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</si>
  <si>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</si>
  <si>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</si>
  <si>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</si>
  <si>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</si>
  <si>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</si>
  <si>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</si>
  <si>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</si>
  <si>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</si>
  <si>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</si>
  <si>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</si>
  <si>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</si>
  <si>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</si>
  <si>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</si>
  <si>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</si>
  <si>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</si>
  <si>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</si>
  <si>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</si>
  <si>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</si>
  <si>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</si>
  <si>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</si>
  <si>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</si>
  <si>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</si>
  <si>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</si>
  <si>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</si>
  <si>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</si>
  <si>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</si>
  <si>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</si>
  <si>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</si>
  <si>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</si>
  <si>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</si>
  <si>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</si>
  <si>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</si>
  <si>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</si>
  <si>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</si>
  <si>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</si>
  <si>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</si>
  <si>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</si>
  <si>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</si>
  <si>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</si>
  <si>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</si>
  <si>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</si>
  <si>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</si>
  <si>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</si>
  <si>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</si>
  <si>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</si>
  <si>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</si>
  <si>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</si>
  <si>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</si>
  <si>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</si>
  <si>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</si>
  <si>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</si>
  <si>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</si>
  <si>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</si>
  <si>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</si>
  <si>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</si>
  <si>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</si>
  <si>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</si>
  <si>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</si>
  <si>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</si>
  <si>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</si>
  <si>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</si>
  <si>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</si>
  <si>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</si>
  <si>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</si>
  <si>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</si>
  <si>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</si>
  <si>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</si>
  <si>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</si>
  <si>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</si>
  <si>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</si>
  <si>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</si>
  <si>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</si>
  <si>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</si>
  <si>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</si>
  <si>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</si>
  <si>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</si>
  <si>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</si>
  <si>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</si>
  <si>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</si>
  <si>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</si>
  <si>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</si>
  <si>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</si>
  <si>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</si>
  <si>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</si>
  <si>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</si>
  <si>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</si>
  <si>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</si>
  <si>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</si>
  <si>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</si>
  <si>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</si>
  <si>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</si>
  <si>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</si>
  <si>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</si>
  <si>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</si>
  <si>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</si>
  <si>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</si>
  <si>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</si>
  <si>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</si>
  <si>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</si>
  <si>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</si>
  <si>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</si>
  <si>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</si>
  <si>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</si>
  <si>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</si>
  <si>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</si>
  <si>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</si>
  <si>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</si>
  <si>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</si>
  <si>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</si>
  <si>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</si>
  <si>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</si>
  <si>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</si>
  <si>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</si>
  <si>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</si>
  <si>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</si>
  <si>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</si>
  <si>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</si>
  <si>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</si>
  <si>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</si>
  <si>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</si>
  <si>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</si>
  <si>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</si>
  <si>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</si>
  <si>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</si>
  <si>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</si>
  <si>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</si>
  <si>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</si>
  <si>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</si>
  <si>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</si>
  <si>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</si>
  <si>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</si>
  <si>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</si>
  <si>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</si>
  <si>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</si>
  <si>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</si>
  <si>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</si>
  <si>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</si>
  <si>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</si>
  <si>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</si>
  <si>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</si>
  <si>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</si>
  <si>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</si>
  <si>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</si>
  <si>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</si>
  <si>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</si>
  <si>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</si>
  <si>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</si>
  <si>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</si>
  <si>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</si>
  <si>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</si>
  <si>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</si>
  <si>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</si>
  <si>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</si>
  <si>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</si>
  <si>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</si>
  <si>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</si>
  <si>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</si>
  <si>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</si>
  <si>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</si>
  <si>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</si>
  <si>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</si>
  <si>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</si>
  <si>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</si>
  <si>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</si>
  <si>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</si>
  <si>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</si>
  <si>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</si>
  <si>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</si>
  <si>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</si>
  <si>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</si>
  <si>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</si>
  <si>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</si>
  <si>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</si>
  <si>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</si>
  <si>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</si>
  <si>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</si>
  <si>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</si>
  <si>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</si>
  <si>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</si>
  <si>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</si>
  <si>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</si>
  <si>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</si>
  <si>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</si>
  <si>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</si>
  <si>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</si>
  <si>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</si>
  <si>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</si>
  <si>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</si>
  <si>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</si>
  <si>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</si>
  <si>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</si>
  <si>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</si>
  <si>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</si>
  <si>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</si>
  <si>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</si>
  <si>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</si>
  <si>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</si>
  <si>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</si>
  <si>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</si>
  <si>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</si>
  <si>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</si>
  <si>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</si>
  <si>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</si>
  <si>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</si>
  <si>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</si>
  <si>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</si>
  <si>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</si>
  <si>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</si>
  <si>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</si>
  <si>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</si>
  <si>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</si>
  <si>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</si>
  <si>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</si>
  <si>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</si>
  <si>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</si>
  <si>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</si>
  <si>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</si>
  <si>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</si>
  <si>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</si>
  <si>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</si>
  <si>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</si>
  <si>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</si>
  <si>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</si>
  <si>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</si>
  <si>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</si>
  <si>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</si>
  <si>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</si>
  <si>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</si>
  <si>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</si>
  <si>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</si>
  <si>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</si>
  <si>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</si>
  <si>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</si>
  <si>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</si>
  <si>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</si>
  <si>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</si>
  <si>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</si>
  <si>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</si>
  <si>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</si>
  <si>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</si>
  <si>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</si>
  <si>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</si>
  <si>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</si>
  <si>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</si>
  <si>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</si>
  <si>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</si>
  <si>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</si>
  <si>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</si>
  <si>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</si>
  <si>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</si>
  <si>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</si>
  <si>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</si>
  <si>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</si>
  <si>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</si>
  <si>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</si>
  <si>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</si>
  <si>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</si>
  <si>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</si>
  <si>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</si>
  <si>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</si>
  <si>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</si>
  <si>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</si>
  <si>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</si>
  <si>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</si>
  <si>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</si>
  <si>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</si>
  <si>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</si>
  <si>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</si>
  <si>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</si>
  <si>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</si>
  <si>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</si>
  <si>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</si>
  <si>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</si>
  <si>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</si>
  <si>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</si>
  <si>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</si>
  <si>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</si>
  <si>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</si>
  <si>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</si>
  <si>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</si>
  <si>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</si>
  <si>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</si>
  <si>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</si>
  <si>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</si>
  <si>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</si>
  <si>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</si>
  <si>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</si>
  <si>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</si>
  <si>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</si>
  <si>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</si>
  <si>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</si>
  <si>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</si>
  <si>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</si>
  <si>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</si>
  <si>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</si>
  <si>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</si>
  <si>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</si>
  <si>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</si>
  <si>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</si>
  <si>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</si>
  <si>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</si>
  <si>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</si>
  <si>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</si>
  <si>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</si>
  <si>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</si>
  <si>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</si>
  <si>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</si>
  <si>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</si>
  <si>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</si>
  <si>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</si>
  <si>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</si>
  <si>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</si>
  <si>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</si>
  <si>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</si>
  <si>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</si>
  <si>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</si>
  <si>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</si>
  <si>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</si>
  <si>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</si>
  <si>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</si>
  <si>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</si>
  <si>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</si>
  <si>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</si>
  <si>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</si>
  <si>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</si>
  <si>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</si>
  <si>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</si>
  <si>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</si>
  <si>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</si>
  <si>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</si>
  <si>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</si>
  <si>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</si>
  <si>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</si>
  <si>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</si>
  <si>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</si>
  <si>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</si>
  <si>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</si>
  <si>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</si>
  <si>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</si>
  <si>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</si>
  <si>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</si>
  <si>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</si>
  <si>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</si>
  <si>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</si>
  <si>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</si>
  <si>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</si>
  <si>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</si>
  <si>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</si>
  <si>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</si>
  <si>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</si>
  <si>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</si>
  <si>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</si>
  <si>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</si>
  <si>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</si>
  <si>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</si>
  <si>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</si>
  <si>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</si>
  <si>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</si>
  <si>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</si>
  <si>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</si>
  <si>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</si>
  <si>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</si>
  <si>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</si>
  <si>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</si>
  <si>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</si>
  <si>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</si>
  <si>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</si>
  <si>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</si>
  <si>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</si>
  <si>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</si>
  <si>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</si>
  <si>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</si>
  <si>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</si>
  <si>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</si>
  <si>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</si>
  <si>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</si>
  <si>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</si>
  <si>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</si>
  <si>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</si>
  <si>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</si>
  <si>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</si>
  <si>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</si>
  <si>
    <t>làm trước + phường</t>
  </si>
  <si>
    <t>phường</t>
  </si>
  <si>
    <t>ĐẾN NGÀY 14 THÁNG 11 NĂM 2013</t>
  </si>
  <si>
    <t xml:space="preserve">Ghi chú: - Khối lượng xi măng đã nhận của các địa phương bao gồm cả đường giao thông và thủy lợi nội đồng; </t>
  </si>
  <si>
    <t>Chưa kể 6,88km đường BTXM các phường khác làm (không được hỗ trợ xi măng)</t>
  </si>
  <si>
    <t>ĐẾN NGÀY 21 THÁNG 11 NĂM 2013</t>
  </si>
  <si>
    <t>Các phường xã khác làm: 6,88km đường BTXM (không được hỗ trợ xi măng)</t>
  </si>
  <si>
    <t>Chưa kể 14,46km đường BTXM làm trước khi có KH của tỉnh, 4km đường Thị trấn (không được hỗ trợ XM) và 4,5km đường dự án</t>
  </si>
  <si>
    <t>Chưa kể 6,06km đường các phường khác làm (không được hỗ trợ xi măng) và 1,43km đường dự án</t>
  </si>
  <si>
    <t>Chưa kể 2,44km làm trước khi có KH hỗ trợ XM của tỉnh, 3,34km đường Thị trấn không được hỗ trợ XM và 8km đường dự án</t>
  </si>
  <si>
    <t>Chưa kể 7,32km không được hỗ trợ xi măng và 14,1km đường BTXM từ các dự án</t>
  </si>
  <si>
    <t>Chưa kể 11,55km đường BTXM Thị trấn và các xã làm (không được hỗ trợ XM của tỉnh) và 39,7 km đường nhựa, BTXM từ các dự án</t>
  </si>
  <si>
    <t>Chưa kể 1km xây dựng trước khi có KH hỗ trợ của tỉnh và 12,1 km đường BTXM từ dự án.</t>
  </si>
  <si>
    <t>Chưa kể 6,95km đường BTXM làm trước khi có KH hỗ trợ của tỉnh và 13,49 km đường nhựa, BTXM từ các dự án</t>
  </si>
  <si>
    <t xml:space="preserve">Ghi chú: </t>
  </si>
  <si>
    <t xml:space="preserve">- Khối lượng xi măng đã nhận của các địa phương bao gồm cả đường giao thông và thủy lợi nội đồng; </t>
  </si>
  <si>
    <t>Tổng toàn tỉnh</t>
  </si>
  <si>
    <t>ĐẾN NGÀY 28 THÁNG 11 NĂM 2013</t>
  </si>
  <si>
    <t>Chưa kể 7,32km không được hỗ trợ xi măng và 20,5km đường BTXM từ các dự án</t>
  </si>
  <si>
    <t>Tổng</t>
  </si>
  <si>
    <t>Dự án</t>
  </si>
  <si>
    <t>Trước</t>
  </si>
  <si>
    <t>Khối lượng đường GTNT được áp dụng cơ chế hỗ trợ xi măng năm 2013  (QĐ số 869/QĐ-UBND) của tỉnh</t>
  </si>
  <si>
    <t>Trong đó</t>
  </si>
  <si>
    <t>Làm trướckế hoạch 869/QĐ-UBND (km)</t>
  </si>
  <si>
    <t>Đường dự án lồng ghép (km)</t>
  </si>
  <si>
    <t>ĐẾN NGÀY 05 THÁNG 12 NĂM 2013</t>
  </si>
  <si>
    <t>Đường làm ngoài cơ chế hỗ trợ xi măng của UBND tỉnh</t>
  </si>
  <si>
    <t>Đường các phường, thị trấn  (km)</t>
  </si>
  <si>
    <t>Khối lượng thực hiện theo cơ chế hỗ trợ xi măng lũy kế đến thời điểm báo cáo</t>
  </si>
  <si>
    <t>ĐẾN NGÀY 12 THÁNG 12 NĂM 2013</t>
  </si>
  <si>
    <t>ĐẾN NGÀY 19 THÁNG 12 NĂM 2013</t>
  </si>
  <si>
    <t>ĐẾN NGÀY 26 THÁNG 12 NĂM 2013</t>
  </si>
  <si>
    <t>ĐẾN NGÀY 03 THÁNG 01 NĂM 2014</t>
  </si>
  <si>
    <t>BẢNG TỔNG HỢP KHỐI LƯỢNG LÀM ĐƯỜNG GTNT THEO CƠ CHẾ HỖ TRỢ XI MĂNG NĂM 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</si>
</sst>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  <numFmt numFmtId="187" formatCode="[$-409]dddd\,\ mmmm\ dd\,\ yyyy"/>
    <numFmt numFmtId="188" formatCode="[$-409]h:mm:ss\ AM/PM"/>
  </numFmts>
  <fonts count="7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right" wrapText="1"/>
    </xf>
    <xf numFmtId="0" fontId="11" fillId="0" borderId="0" xfId="0" applyFont="1" applyFill="1" applyAlignment="1" quotePrefix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 horizontal="center"/>
    </xf>
    <xf numFmtId="0" fontId="3" fillId="6" borderId="11" xfId="0" applyFont="1" applyFill="1" applyBorder="1" applyAlignment="1" quotePrefix="1">
      <alignment vertical="center" wrapText="1"/>
    </xf>
    <xf numFmtId="0" fontId="3" fillId="6" borderId="11" xfId="60" applyNumberFormat="1" applyFont="1" applyFill="1" applyBorder="1" applyAlignment="1">
      <alignment vertical="center"/>
    </xf>
    <xf numFmtId="0" fontId="11" fillId="0" borderId="0" xfId="60" applyNumberFormat="1" applyFont="1" applyFill="1" applyAlignment="1" quotePrefix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>
      <alignment horizontal="center" vertical="center"/>
    </xf>
    <xf numFmtId="4" fontId="30" fillId="0" borderId="15" xfId="42" applyNumberFormat="1" applyFont="1" applyFill="1" applyBorder="1" applyAlignment="1">
      <alignment horizontal="center" vertical="center"/>
    </xf>
    <xf numFmtId="0" fontId="2" fillId="0" borderId="13" xfId="60" applyNumberFormat="1" applyFont="1" applyFill="1" applyBorder="1" applyAlignment="1">
      <alignment horizontal="center" vertical="center"/>
    </xf>
    <xf numFmtId="2" fontId="3" fillId="0" borderId="13" xfId="60" applyNumberFormat="1" applyFont="1" applyFill="1" applyBorder="1" applyAlignment="1">
      <alignment vertical="center"/>
    </xf>
    <xf numFmtId="2" fontId="3" fillId="0" borderId="11" xfId="60" applyNumberFormat="1" applyFont="1" applyFill="1" applyBorder="1" applyAlignment="1">
      <alignment vertical="center"/>
    </xf>
    <xf numFmtId="2" fontId="3" fillId="0" borderId="12" xfId="60" applyNumberFormat="1" applyFont="1" applyFill="1" applyBorder="1" applyAlignment="1">
      <alignment vertical="center"/>
    </xf>
    <xf numFmtId="172" fontId="2" fillId="0" borderId="0" xfId="42" applyNumberFormat="1" applyFont="1" applyFill="1" applyAlignment="1">
      <alignment/>
    </xf>
    <xf numFmtId="0" fontId="2" fillId="0" borderId="11" xfId="60" applyNumberFormat="1" applyFont="1" applyFill="1" applyBorder="1" applyAlignment="1">
      <alignment horizontal="center" vertical="center"/>
    </xf>
    <xf numFmtId="0" fontId="2" fillId="0" borderId="12" xfId="60" applyNumberFormat="1" applyFont="1" applyFill="1" applyBorder="1" applyAlignment="1">
      <alignment horizontal="center" vertical="center"/>
    </xf>
    <xf numFmtId="0" fontId="3" fillId="0" borderId="12" xfId="60" applyNumberFormat="1" applyFont="1" applyFill="1" applyBorder="1" applyAlignment="1">
      <alignment horizontal="center" vertical="center"/>
    </xf>
    <xf numFmtId="0" fontId="2" fillId="6" borderId="11" xfId="60" applyNumberFormat="1" applyFont="1" applyFill="1" applyBorder="1" applyAlignment="1">
      <alignment horizontal="center" vertical="center"/>
    </xf>
    <xf numFmtId="0" fontId="3" fillId="6" borderId="11" xfId="60" applyNumberFormat="1" applyFont="1" applyFill="1" applyBorder="1" applyAlignment="1">
      <alignment horizontal="center" vertical="center"/>
    </xf>
    <xf numFmtId="2" fontId="3" fillId="6" borderId="11" xfId="60" applyNumberFormat="1" applyFont="1" applyFill="1" applyBorder="1" applyAlignment="1">
      <alignment vertical="center"/>
    </xf>
    <xf numFmtId="0" fontId="2" fillId="6" borderId="12" xfId="60" applyNumberFormat="1" applyFont="1" applyFill="1" applyBorder="1" applyAlignment="1">
      <alignment horizontal="center" vertical="center"/>
    </xf>
    <xf numFmtId="0" fontId="3" fillId="6" borderId="12" xfId="60" applyNumberFormat="1" applyFont="1" applyFill="1" applyBorder="1" applyAlignment="1">
      <alignment horizontal="center" vertical="center"/>
    </xf>
    <xf numFmtId="2" fontId="3" fillId="6" borderId="12" xfId="60" applyNumberFormat="1" applyFont="1" applyFill="1" applyBorder="1" applyAlignment="1">
      <alignment vertical="center"/>
    </xf>
    <xf numFmtId="3" fontId="11" fillId="6" borderId="11" xfId="0" applyNumberFormat="1" applyFont="1" applyFill="1" applyBorder="1" applyAlignment="1">
      <alignment vertical="center"/>
    </xf>
    <xf numFmtId="0" fontId="2" fillId="6" borderId="13" xfId="60" applyNumberFormat="1" applyFont="1" applyFill="1" applyBorder="1" applyAlignment="1">
      <alignment horizontal="center" vertical="center"/>
    </xf>
    <xf numFmtId="0" fontId="3" fillId="6" borderId="13" xfId="6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 quotePrefix="1">
      <alignment vertical="center" wrapText="1"/>
    </xf>
    <xf numFmtId="2" fontId="3" fillId="6" borderId="13" xfId="60" applyNumberFormat="1" applyFont="1" applyFill="1" applyBorder="1" applyAlignment="1">
      <alignment vertical="center"/>
    </xf>
    <xf numFmtId="4" fontId="2" fillId="6" borderId="13" xfId="0" applyNumberFormat="1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6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67" fillId="6" borderId="11" xfId="0" applyFont="1" applyFill="1" applyBorder="1" applyAlignment="1">
      <alignment horizontal="center" vertical="center"/>
    </xf>
    <xf numFmtId="0" fontId="67" fillId="6" borderId="11" xfId="0" applyFont="1" applyFill="1" applyBorder="1" applyAlignment="1">
      <alignment vertical="center"/>
    </xf>
    <xf numFmtId="2" fontId="66" fillId="6" borderId="11" xfId="0" applyNumberFormat="1" applyFont="1" applyFill="1" applyBorder="1" applyAlignment="1">
      <alignment vertical="center"/>
    </xf>
    <xf numFmtId="0" fontId="68" fillId="6" borderId="11" xfId="0" applyFont="1" applyFill="1" applyBorder="1" applyAlignment="1">
      <alignment vertical="center"/>
    </xf>
    <xf numFmtId="4" fontId="67" fillId="6" borderId="11" xfId="0" applyNumberFormat="1" applyFont="1" applyFill="1" applyBorder="1" applyAlignment="1">
      <alignment vertical="center"/>
    </xf>
    <xf numFmtId="0" fontId="67" fillId="6" borderId="11" xfId="42" applyNumberFormat="1" applyFont="1" applyFill="1" applyBorder="1" applyAlignment="1">
      <alignment vertical="center"/>
    </xf>
    <xf numFmtId="3" fontId="67" fillId="6" borderId="11" xfId="42" applyNumberFormat="1" applyFont="1" applyFill="1" applyBorder="1" applyAlignment="1">
      <alignment vertical="center"/>
    </xf>
    <xf numFmtId="4" fontId="69" fillId="6" borderId="11" xfId="0" applyNumberFormat="1" applyFont="1" applyFill="1" applyBorder="1" applyAlignment="1">
      <alignment vertical="center"/>
    </xf>
    <xf numFmtId="172" fontId="30" fillId="0" borderId="0" xfId="42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2" fillId="0" borderId="11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941" t="s">
        <v>15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"/>
      <c r="S1" s="9"/>
    </row>
    <row r="2" spans="1:19" s="5" customFormat="1" ht="22.5" customHeight="1">
      <c r="A2" s="942" t="s">
        <v>16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10"/>
      <c r="S2" s="10"/>
    </row>
    <row r="3" spans="1:18" s="3" customFormat="1" ht="46.5" customHeight="1">
      <c r="A3" s="946" t="s">
        <v>0</v>
      </c>
      <c r="B3" s="940" t="s">
        <v>1</v>
      </c>
      <c r="C3" s="940" t="s">
        <v>25</v>
      </c>
      <c r="D3" s="940"/>
      <c r="E3" s="940"/>
      <c r="F3" s="940"/>
      <c r="G3" s="935" t="s">
        <v>26</v>
      </c>
      <c r="H3" s="936"/>
      <c r="I3" s="936"/>
      <c r="J3" s="936"/>
      <c r="K3" s="936"/>
      <c r="L3" s="940" t="s">
        <v>22</v>
      </c>
      <c r="M3" s="940"/>
      <c r="N3" s="940"/>
      <c r="O3" s="940"/>
      <c r="P3" s="940" t="s">
        <v>34</v>
      </c>
      <c r="Q3" s="946" t="s">
        <v>14</v>
      </c>
      <c r="R3" s="7"/>
    </row>
    <row r="4" spans="1:19" s="3" customFormat="1" ht="14.25" customHeight="1">
      <c r="A4" s="946"/>
      <c r="B4" s="940"/>
      <c r="C4" s="940" t="s">
        <v>20</v>
      </c>
      <c r="D4" s="934" t="s">
        <v>21</v>
      </c>
      <c r="E4" s="934"/>
      <c r="F4" s="934"/>
      <c r="G4" s="940" t="s">
        <v>20</v>
      </c>
      <c r="H4" s="937" t="s">
        <v>21</v>
      </c>
      <c r="I4" s="938"/>
      <c r="J4" s="938"/>
      <c r="K4" s="939"/>
      <c r="L4" s="940" t="s">
        <v>20</v>
      </c>
      <c r="M4" s="934" t="s">
        <v>21</v>
      </c>
      <c r="N4" s="934"/>
      <c r="O4" s="934"/>
      <c r="P4" s="940"/>
      <c r="Q4" s="946"/>
      <c r="R4" s="6"/>
      <c r="S4" s="4"/>
    </row>
    <row r="5" spans="1:19" s="3" customFormat="1" ht="60" customHeight="1">
      <c r="A5" s="946"/>
      <c r="B5" s="940"/>
      <c r="C5" s="940"/>
      <c r="D5" s="8" t="s">
        <v>17</v>
      </c>
      <c r="E5" s="8" t="s">
        <v>18</v>
      </c>
      <c r="F5" s="8" t="s">
        <v>19</v>
      </c>
      <c r="G5" s="940"/>
      <c r="H5" s="8" t="s">
        <v>17</v>
      </c>
      <c r="I5" s="8" t="s">
        <v>18</v>
      </c>
      <c r="J5" s="8" t="s">
        <v>19</v>
      </c>
      <c r="K5" s="8" t="s">
        <v>32</v>
      </c>
      <c r="L5" s="940"/>
      <c r="M5" s="8" t="s">
        <v>17</v>
      </c>
      <c r="N5" s="8" t="s">
        <v>18</v>
      </c>
      <c r="O5" s="8" t="s">
        <v>19</v>
      </c>
      <c r="P5" s="940"/>
      <c r="Q5" s="946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943" t="s">
        <v>23</v>
      </c>
      <c r="B18" s="94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945" t="s">
        <v>24</v>
      </c>
      <c r="P19" s="945"/>
      <c r="Q19" s="945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 topLeftCell="A10">
      <selection activeCell="S15" sqref="S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  <c r="AD1" s="833"/>
    </row>
    <row r="2" spans="1:30" s="569" customFormat="1" ht="22.5" customHeight="1">
      <c r="A2" s="948" t="s">
        <v>406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  <c r="AD2" s="835"/>
    </row>
    <row r="3" spans="1:30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  <c r="AD3" s="835"/>
    </row>
    <row r="4" spans="1:29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313</v>
      </c>
      <c r="AC4" s="837"/>
    </row>
    <row r="5" spans="1:30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39"/>
      <c r="AD5" s="840"/>
    </row>
    <row r="6" spans="1:31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41.72</v>
      </c>
      <c r="T9" s="344">
        <v>11.39</v>
      </c>
      <c r="U9" s="514">
        <v>25.06</v>
      </c>
      <c r="V9" s="344">
        <v>5.27</v>
      </c>
      <c r="W9" s="344"/>
      <c r="X9" s="827">
        <v>7782.35</v>
      </c>
      <c r="Y9" s="604">
        <f aca="true" t="shared" si="3" ref="Y9:Y19">+S9/M9</f>
        <v>0.6330804248861913</v>
      </c>
      <c r="Z9" s="828" t="s">
        <v>382</v>
      </c>
      <c r="AA9" s="756">
        <f>3.34+2.44+9.8</f>
        <v>15.58</v>
      </c>
      <c r="AB9" s="646">
        <f aca="true" t="shared" si="4" ref="AB9:AB19">+S9+AA9</f>
        <v>57.3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34.905</v>
      </c>
      <c r="T10" s="471">
        <v>7.55</v>
      </c>
      <c r="U10" s="471">
        <v>17.115</v>
      </c>
      <c r="V10" s="471">
        <v>10.24</v>
      </c>
      <c r="W10" s="471"/>
      <c r="X10" s="618">
        <v>5868</v>
      </c>
      <c r="Y10" s="604">
        <f t="shared" si="3"/>
        <v>0.7754943345923128</v>
      </c>
      <c r="Z10" s="473" t="s">
        <v>383</v>
      </c>
      <c r="AA10" s="756">
        <f>0.8+23.99</f>
        <v>24.79</v>
      </c>
      <c r="AB10" s="646">
        <f t="shared" si="4"/>
        <v>59.695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f>76+1915</f>
        <v>1991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93.37</v>
      </c>
      <c r="T17" s="471">
        <v>38.34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0.9208086785009861</v>
      </c>
      <c r="Z17" s="828" t="s">
        <v>387</v>
      </c>
      <c r="AA17" s="756">
        <f>13.49+6.95</f>
        <v>20.44</v>
      </c>
      <c r="AB17" s="646">
        <f t="shared" si="4"/>
        <v>113.81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67" t="s">
        <v>23</v>
      </c>
      <c r="B20" s="968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644.057</v>
      </c>
      <c r="T20" s="821">
        <f t="shared" si="6"/>
        <v>144.97700000000003</v>
      </c>
      <c r="U20" s="820">
        <f t="shared" si="6"/>
        <v>369.10200000000003</v>
      </c>
      <c r="V20" s="820">
        <f t="shared" si="6"/>
        <v>128.038</v>
      </c>
      <c r="W20" s="820">
        <f t="shared" si="6"/>
        <v>1.94</v>
      </c>
      <c r="X20" s="822">
        <f t="shared" si="6"/>
        <v>89626.6</v>
      </c>
      <c r="Y20" s="823">
        <f>+S20/G20</f>
        <v>0.823890979703886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868.6370000000001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74" t="s">
        <v>407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644.057</v>
      </c>
      <c r="T24" s="854">
        <f t="shared" si="7"/>
        <v>144.97700000000003</v>
      </c>
      <c r="U24" s="854">
        <f t="shared" si="7"/>
        <v>369.10200000000003</v>
      </c>
      <c r="V24" s="854">
        <f t="shared" si="7"/>
        <v>128.038</v>
      </c>
      <c r="W24" s="854">
        <f t="shared" si="7"/>
        <v>1.94</v>
      </c>
      <c r="X24" s="854">
        <f t="shared" si="7"/>
        <v>89626.6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+'07.11.2013'!S20</f>
        <v>635.181</v>
      </c>
      <c r="T25" s="854">
        <f>+'07.11.2013'!T20</f>
        <v>142.957</v>
      </c>
      <c r="U25" s="854">
        <f>+'07.11.2013'!U20</f>
        <v>363.422</v>
      </c>
      <c r="V25" s="854">
        <f>+'07.11.2013'!V20</f>
        <v>125.56200000000001</v>
      </c>
      <c r="W25" s="854">
        <f>+'07.11.2013'!W20</f>
        <v>3.24</v>
      </c>
      <c r="X25" s="854">
        <f>+'07.11.2013'!X20</f>
        <v>86612.8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8.875999999999976</v>
      </c>
      <c r="T26" s="854">
        <f t="shared" si="8"/>
        <v>2.0200000000000387</v>
      </c>
      <c r="U26" s="854">
        <f t="shared" si="8"/>
        <v>5.680000000000007</v>
      </c>
      <c r="V26" s="854">
        <f t="shared" si="8"/>
        <v>2.475999999999999</v>
      </c>
      <c r="W26" s="854">
        <f t="shared" si="8"/>
        <v>-1.3000000000000003</v>
      </c>
      <c r="X26" s="854">
        <f t="shared" si="8"/>
        <v>3013.800000000003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Z26" sqref="Z2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  <c r="AD1" s="833"/>
    </row>
    <row r="2" spans="1:30" s="569" customFormat="1" ht="22.5" customHeight="1">
      <c r="A2" s="948" t="s">
        <v>403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  <c r="AD2" s="835"/>
    </row>
    <row r="3" spans="1:30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  <c r="AD3" s="835"/>
    </row>
    <row r="4" spans="1:29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313</v>
      </c>
      <c r="AC4" s="837"/>
    </row>
    <row r="5" spans="1:30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39"/>
      <c r="AD5" s="840"/>
    </row>
    <row r="6" spans="1:31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  <c r="AC19" s="68">
        <v>6.06</v>
      </c>
      <c r="AE19" s="68">
        <v>6.06</v>
      </c>
    </row>
    <row r="20" spans="1:31" ht="21.75" customHeight="1">
      <c r="A20" s="967" t="s">
        <v>23</v>
      </c>
      <c r="B20" s="968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86612.8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31.5" customHeight="1">
      <c r="B21" s="974" t="s">
        <v>402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86612.8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84590.95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  <c r="AD1" s="833"/>
    </row>
    <row r="2" spans="1:30" s="569" customFormat="1" ht="22.5" customHeight="1">
      <c r="A2" s="948" t="s">
        <v>400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  <c r="AD2" s="835"/>
    </row>
    <row r="3" spans="1:30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  <c r="AD3" s="835"/>
    </row>
    <row r="4" spans="1:29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313</v>
      </c>
      <c r="AC4" s="837"/>
    </row>
    <row r="5" spans="1:30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39"/>
      <c r="AD5" s="840"/>
    </row>
    <row r="6" spans="1:30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67" t="s">
        <v>23</v>
      </c>
      <c r="B20" s="968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85341.95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74" t="s">
        <v>402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85341.95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  <c r="AD1" s="833"/>
    </row>
    <row r="2" spans="1:30" s="569" customFormat="1" ht="22.5" customHeight="1">
      <c r="A2" s="948" t="s">
        <v>400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  <c r="AD2" s="835"/>
    </row>
    <row r="3" spans="1:30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  <c r="AD3" s="835"/>
    </row>
    <row r="4" spans="1:29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313</v>
      </c>
      <c r="AC4" s="837"/>
    </row>
    <row r="5" spans="1:30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39"/>
      <c r="AD5" s="840"/>
    </row>
    <row r="6" spans="1:30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67" t="s">
        <v>23</v>
      </c>
      <c r="B20" s="968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84590.95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74" t="s">
        <v>402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84590.95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  <c r="AD1" s="833"/>
    </row>
    <row r="2" spans="1:30" s="569" customFormat="1" ht="22.5" customHeight="1">
      <c r="A2" s="948" t="s">
        <v>396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  <c r="AD2" s="835"/>
    </row>
    <row r="3" spans="1:30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  <c r="AD3" s="835"/>
    </row>
    <row r="4" spans="1:29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313</v>
      </c>
      <c r="AC4" s="837"/>
    </row>
    <row r="5" spans="1:30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76" t="s">
        <v>38</v>
      </c>
      <c r="N5" s="977" t="s">
        <v>21</v>
      </c>
      <c r="O5" s="977"/>
      <c r="P5" s="977"/>
      <c r="Q5" s="977"/>
      <c r="R5" s="978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39"/>
      <c r="AD5" s="840"/>
    </row>
    <row r="6" spans="1:30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76"/>
      <c r="N6" s="874" t="s">
        <v>39</v>
      </c>
      <c r="O6" s="874" t="s">
        <v>40</v>
      </c>
      <c r="P6" s="874" t="s">
        <v>41</v>
      </c>
      <c r="Q6" s="874" t="s">
        <v>42</v>
      </c>
      <c r="R6" s="979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67" t="s">
        <v>23</v>
      </c>
      <c r="B20" s="968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84409.22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74" t="s">
        <v>398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5"/>
      <c r="V21" s="975"/>
      <c r="W21" s="975"/>
      <c r="X21" s="975"/>
      <c r="Y21" s="975"/>
      <c r="Z21" s="975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84409.22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82949.67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L5:L6"/>
    <mergeCell ref="S5:S6"/>
    <mergeCell ref="G4:L4"/>
    <mergeCell ref="S4:X4"/>
    <mergeCell ref="A20:B20"/>
    <mergeCell ref="B21:Z21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832"/>
      <c r="V1" s="832"/>
      <c r="W1" s="833"/>
      <c r="X1" s="833"/>
    </row>
    <row r="2" spans="1:24" s="569" customFormat="1" ht="22.5" customHeight="1">
      <c r="A2" s="948" t="s">
        <v>377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834"/>
      <c r="V2" s="834"/>
      <c r="W2" s="835"/>
      <c r="X2" s="835"/>
    </row>
    <row r="3" spans="1:24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836"/>
      <c r="V3" s="836"/>
      <c r="W3" s="835"/>
      <c r="X3" s="835"/>
    </row>
    <row r="4" spans="1:23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6" t="s">
        <v>307</v>
      </c>
      <c r="N4" s="957"/>
      <c r="O4" s="957"/>
      <c r="P4" s="957"/>
      <c r="Q4" s="957"/>
      <c r="R4" s="958"/>
      <c r="S4" s="951" t="s">
        <v>43</v>
      </c>
      <c r="T4" s="950" t="s">
        <v>14</v>
      </c>
      <c r="U4" s="951" t="s">
        <v>329</v>
      </c>
      <c r="V4" s="959" t="s">
        <v>313</v>
      </c>
      <c r="W4" s="837"/>
    </row>
    <row r="5" spans="1:24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9" t="s">
        <v>21</v>
      </c>
      <c r="O5" s="970"/>
      <c r="P5" s="970"/>
      <c r="Q5" s="971"/>
      <c r="R5" s="962" t="s">
        <v>37</v>
      </c>
      <c r="S5" s="951"/>
      <c r="T5" s="950"/>
      <c r="U5" s="951"/>
      <c r="V5" s="959"/>
      <c r="W5" s="839"/>
      <c r="X5" s="840"/>
    </row>
    <row r="6" spans="1:24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950"/>
      <c r="U6" s="951"/>
      <c r="V6" s="959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82949.67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74" t="s">
        <v>397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82949.67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82671.01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81" t="s">
        <v>373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374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869"/>
      <c r="W4" s="869"/>
      <c r="X4" s="869"/>
      <c r="Y4" s="869"/>
      <c r="Z4" s="987" t="s">
        <v>313</v>
      </c>
      <c r="AA4" s="150"/>
    </row>
    <row r="5" spans="1:28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869"/>
      <c r="W5" s="869"/>
      <c r="X5" s="869"/>
      <c r="Y5" s="869"/>
      <c r="Z5" s="987"/>
      <c r="AA5" s="152"/>
      <c r="AB5" s="153"/>
    </row>
    <row r="6" spans="1:28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865" t="s">
        <v>379</v>
      </c>
      <c r="W6" s="869" t="s">
        <v>380</v>
      </c>
      <c r="X6" s="869"/>
      <c r="Y6" s="869"/>
      <c r="Z6" s="987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67" t="s">
        <v>23</v>
      </c>
      <c r="B20" s="968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82671.01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82671.01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79437.5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A20:B20"/>
    <mergeCell ref="B21:T21"/>
    <mergeCell ref="U4:U6"/>
    <mergeCell ref="Z4:Z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372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79437.5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370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78013.5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368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78280.27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78280.27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workbookViewId="0" topLeftCell="A1">
      <selection activeCell="Y11" sqref="Y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6.25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438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38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921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921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56.01</v>
      </c>
      <c r="T8" s="465">
        <v>10.23</v>
      </c>
      <c r="U8" s="465">
        <v>30.7</v>
      </c>
      <c r="V8" s="465">
        <v>15.08</v>
      </c>
      <c r="W8" s="465"/>
      <c r="X8" s="616">
        <v>10830</v>
      </c>
      <c r="Y8" s="549">
        <f>+S8/M8</f>
        <v>0.9270109235352532</v>
      </c>
      <c r="Z8" s="898">
        <f>SUM(AA8:AC8)</f>
        <v>7.790000000000001</v>
      </c>
      <c r="AA8" s="895">
        <v>4.15</v>
      </c>
      <c r="AB8" s="895"/>
      <c r="AC8" s="895">
        <v>3.64</v>
      </c>
      <c r="AD8" s="814"/>
      <c r="AE8" s="899">
        <f>+S8+Z8</f>
        <v>63.8</v>
      </c>
      <c r="AF8" s="646"/>
      <c r="AJ8" s="77"/>
    </row>
    <row r="9" spans="1:36" ht="24.75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919">
        <f aca="true" t="shared" si="1" ref="M9:M19">SUM(N9:Q9)</f>
        <v>63.7</v>
      </c>
      <c r="N9" s="558">
        <v>14.1</v>
      </c>
      <c r="O9" s="558">
        <v>40.7</v>
      </c>
      <c r="P9" s="558">
        <v>7.4</v>
      </c>
      <c r="Q9" s="531">
        <v>1.5</v>
      </c>
      <c r="R9" s="629">
        <v>10285</v>
      </c>
      <c r="S9" s="826">
        <f aca="true" t="shared" si="2" ref="S9:S19">SUM(T9:W9)</f>
        <v>60.309999999999995</v>
      </c>
      <c r="T9" s="344">
        <v>13.97</v>
      </c>
      <c r="U9" s="514">
        <v>38.48</v>
      </c>
      <c r="V9" s="344">
        <v>6.35</v>
      </c>
      <c r="W9" s="344">
        <v>1.51</v>
      </c>
      <c r="X9" s="827">
        <v>9818</v>
      </c>
      <c r="Y9" s="604">
        <f aca="true" t="shared" si="3" ref="Y9:Y19">+S9/M9</f>
        <v>0.9467817896389323</v>
      </c>
      <c r="Z9" s="903">
        <f>SUM(AA9:AC9)</f>
        <v>13.78</v>
      </c>
      <c r="AA9" s="896">
        <v>2.44</v>
      </c>
      <c r="AB9" s="896">
        <v>3.34</v>
      </c>
      <c r="AC9" s="896">
        <v>8</v>
      </c>
      <c r="AD9" s="828"/>
      <c r="AE9" s="900">
        <f aca="true" t="shared" si="4" ref="AE9:AE18">+S9+Z9</f>
        <v>74.08999999999999</v>
      </c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919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7435</v>
      </c>
      <c r="S10" s="826">
        <f>SUM(T10:W10)</f>
        <v>44</v>
      </c>
      <c r="T10" s="471">
        <v>11.3</v>
      </c>
      <c r="U10" s="471">
        <v>21.67</v>
      </c>
      <c r="V10" s="471">
        <v>11.03</v>
      </c>
      <c r="W10" s="471"/>
      <c r="X10" s="618">
        <v>7335</v>
      </c>
      <c r="Y10" s="604">
        <f t="shared" si="3"/>
        <v>0.977560542101755</v>
      </c>
      <c r="Z10" s="903">
        <f aca="true" t="shared" si="5" ref="Z10:Z18">SUM(AA10:AC10)</f>
        <v>27.62</v>
      </c>
      <c r="AA10" s="896"/>
      <c r="AB10" s="896">
        <v>1</v>
      </c>
      <c r="AC10" s="896">
        <v>26.62</v>
      </c>
      <c r="AD10" s="473"/>
      <c r="AE10" s="900">
        <f t="shared" si="4"/>
        <v>71.62</v>
      </c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919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30.04</v>
      </c>
      <c r="T11" s="471">
        <v>6.63</v>
      </c>
      <c r="U11" s="471">
        <v>10.94</v>
      </c>
      <c r="V11" s="471">
        <v>12.47</v>
      </c>
      <c r="W11" s="471"/>
      <c r="X11" s="618">
        <v>3172</v>
      </c>
      <c r="Y11" s="604">
        <f t="shared" si="3"/>
        <v>0.9778645833333333</v>
      </c>
      <c r="Z11" s="903">
        <f t="shared" si="5"/>
        <v>27.82</v>
      </c>
      <c r="AA11" s="896">
        <v>6.42</v>
      </c>
      <c r="AB11" s="896">
        <v>0.9</v>
      </c>
      <c r="AC11" s="896">
        <v>20.5</v>
      </c>
      <c r="AD11" s="828"/>
      <c r="AE11" s="900">
        <f t="shared" si="4"/>
        <v>57.86</v>
      </c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919">
        <f t="shared" si="1"/>
        <v>80.61</v>
      </c>
      <c r="N12" s="558">
        <v>18.81</v>
      </c>
      <c r="O12" s="558">
        <v>51.81</v>
      </c>
      <c r="P12" s="558">
        <v>6.86</v>
      </c>
      <c r="Q12" s="531">
        <v>3.13</v>
      </c>
      <c r="R12" s="629">
        <v>11247</v>
      </c>
      <c r="S12" s="767">
        <f t="shared" si="2"/>
        <v>80.50000000000001</v>
      </c>
      <c r="T12" s="471">
        <v>19.1</v>
      </c>
      <c r="U12" s="471">
        <v>51.8</v>
      </c>
      <c r="V12" s="471">
        <v>7.4</v>
      </c>
      <c r="W12" s="471">
        <v>2.2</v>
      </c>
      <c r="X12" s="618">
        <v>11066</v>
      </c>
      <c r="Y12" s="604">
        <f t="shared" si="3"/>
        <v>0.9986354050365961</v>
      </c>
      <c r="Z12" s="903">
        <f t="shared" si="5"/>
        <v>27.71</v>
      </c>
      <c r="AA12" s="896">
        <v>4.31</v>
      </c>
      <c r="AB12" s="896">
        <v>1.73</v>
      </c>
      <c r="AC12" s="896">
        <v>21.67</v>
      </c>
      <c r="AD12" s="828"/>
      <c r="AE12" s="900">
        <f t="shared" si="4"/>
        <v>108.21000000000001</v>
      </c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919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72.88</v>
      </c>
      <c r="T13" s="471">
        <v>9.28</v>
      </c>
      <c r="U13" s="471">
        <v>40.81</v>
      </c>
      <c r="V13" s="471">
        <v>22.79</v>
      </c>
      <c r="W13" s="471"/>
      <c r="X13" s="618">
        <v>10774</v>
      </c>
      <c r="Y13" s="604">
        <f t="shared" si="3"/>
        <v>0.8217386402074641</v>
      </c>
      <c r="Z13" s="903">
        <f t="shared" si="5"/>
        <v>12.2</v>
      </c>
      <c r="AA13" s="896"/>
      <c r="AB13" s="896"/>
      <c r="AC13" s="896">
        <v>12.2</v>
      </c>
      <c r="AD13" s="828"/>
      <c r="AE13" s="900">
        <f t="shared" si="4"/>
        <v>85.08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919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117.1</v>
      </c>
      <c r="T14" s="471">
        <v>23.8</v>
      </c>
      <c r="U14" s="471">
        <v>51.5</v>
      </c>
      <c r="V14" s="471">
        <v>41.8</v>
      </c>
      <c r="W14" s="471"/>
      <c r="X14" s="618">
        <v>16299</v>
      </c>
      <c r="Y14" s="604">
        <f t="shared" si="3"/>
        <v>0.875710439724798</v>
      </c>
      <c r="Z14" s="903">
        <f t="shared" si="5"/>
        <v>26.76</v>
      </c>
      <c r="AA14" s="896">
        <v>14.46</v>
      </c>
      <c r="AB14" s="896">
        <f>3.5+4.3</f>
        <v>7.8</v>
      </c>
      <c r="AC14" s="896">
        <v>4.5</v>
      </c>
      <c r="AD14" s="473"/>
      <c r="AE14" s="900">
        <f t="shared" si="4"/>
        <v>143.85999999999999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7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13492</v>
      </c>
      <c r="S15" s="767">
        <f>SUM(T15:W15)</f>
        <v>111.10999999999999</v>
      </c>
      <c r="T15" s="471">
        <v>23</v>
      </c>
      <c r="U15" s="471">
        <v>72.57</v>
      </c>
      <c r="V15" s="471">
        <v>15.54</v>
      </c>
      <c r="W15" s="471"/>
      <c r="X15" s="618">
        <v>13492</v>
      </c>
      <c r="Y15" s="604">
        <f t="shared" si="3"/>
        <v>0.9999999999999999</v>
      </c>
      <c r="Z15" s="933">
        <f t="shared" si="5"/>
        <v>58.55</v>
      </c>
      <c r="AA15" s="896"/>
      <c r="AB15" s="896">
        <v>11.55</v>
      </c>
      <c r="AC15" s="896">
        <v>47</v>
      </c>
      <c r="AD15" s="473"/>
      <c r="AE15" s="900">
        <f t="shared" si="4"/>
        <v>169.65999999999997</v>
      </c>
      <c r="AF15" s="646"/>
      <c r="AG15" s="77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919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55.199999999999996</v>
      </c>
      <c r="T16" s="471">
        <v>7.3</v>
      </c>
      <c r="U16" s="471">
        <v>43.5</v>
      </c>
      <c r="V16" s="471">
        <v>4.4</v>
      </c>
      <c r="W16" s="471"/>
      <c r="X16" s="618">
        <v>8459</v>
      </c>
      <c r="Y16" s="604">
        <f t="shared" si="3"/>
        <v>0.8646616541353382</v>
      </c>
      <c r="Z16" s="903">
        <f t="shared" si="5"/>
        <v>15</v>
      </c>
      <c r="AA16" s="896">
        <v>1</v>
      </c>
      <c r="AB16" s="896"/>
      <c r="AC16" s="896">
        <v>14</v>
      </c>
      <c r="AD16" s="473"/>
      <c r="AE16" s="900">
        <f t="shared" si="4"/>
        <v>70.19999999999999</v>
      </c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919">
        <f t="shared" si="1"/>
        <v>102.85999999999999</v>
      </c>
      <c r="N17" s="558">
        <v>43</v>
      </c>
      <c r="O17" s="558">
        <v>56.73</v>
      </c>
      <c r="P17" s="558">
        <v>3.13</v>
      </c>
      <c r="Q17" s="531"/>
      <c r="R17" s="629">
        <v>14761</v>
      </c>
      <c r="S17" s="767">
        <f t="shared" si="2"/>
        <v>100.55</v>
      </c>
      <c r="T17" s="471">
        <v>40.22</v>
      </c>
      <c r="U17" s="471">
        <v>58.1</v>
      </c>
      <c r="V17" s="471">
        <v>2.23</v>
      </c>
      <c r="W17" s="471"/>
      <c r="X17" s="618">
        <v>14479</v>
      </c>
      <c r="Y17" s="604">
        <f t="shared" si="3"/>
        <v>0.9775422904919309</v>
      </c>
      <c r="Z17" s="903">
        <f t="shared" si="5"/>
        <v>25.45</v>
      </c>
      <c r="AA17" s="896">
        <v>6.95</v>
      </c>
      <c r="AB17" s="896"/>
      <c r="AC17" s="896">
        <v>18.5</v>
      </c>
      <c r="AD17" s="828"/>
      <c r="AE17" s="900">
        <f t="shared" si="4"/>
        <v>126</v>
      </c>
      <c r="AF17" s="646"/>
      <c r="AG17" s="77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8">
        <f t="shared" si="1"/>
        <v>1.52</v>
      </c>
      <c r="N18" s="607">
        <v>0.76</v>
      </c>
      <c r="O18" s="607"/>
      <c r="P18" s="607">
        <v>0.76</v>
      </c>
      <c r="Q18" s="531"/>
      <c r="R18" s="629">
        <f>0.76*226+0.76*143</f>
        <v>280.44</v>
      </c>
      <c r="S18" s="826">
        <f t="shared" si="2"/>
        <v>1.52</v>
      </c>
      <c r="T18" s="607">
        <f>0.43+0.22+0.03+0.08</f>
        <v>0.76</v>
      </c>
      <c r="U18" s="623"/>
      <c r="V18" s="607">
        <v>0.76</v>
      </c>
      <c r="W18" s="623"/>
      <c r="X18" s="618">
        <v>66</v>
      </c>
      <c r="Y18" s="604">
        <f t="shared" si="3"/>
        <v>1</v>
      </c>
      <c r="Z18" s="903">
        <f t="shared" si="5"/>
        <v>6.88</v>
      </c>
      <c r="AA18" s="896"/>
      <c r="AB18" s="896">
        <v>6.88</v>
      </c>
      <c r="AC18" s="896"/>
      <c r="AD18" s="473"/>
      <c r="AE18" s="900">
        <f t="shared" si="4"/>
        <v>8.4</v>
      </c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922">
        <f t="shared" si="1"/>
        <v>18.15</v>
      </c>
      <c r="N19" s="650">
        <v>4.73</v>
      </c>
      <c r="O19" s="650">
        <v>3.74</v>
      </c>
      <c r="P19" s="650">
        <v>9.68</v>
      </c>
      <c r="Q19" s="651"/>
      <c r="R19" s="630">
        <v>2449</v>
      </c>
      <c r="S19" s="584">
        <f t="shared" si="2"/>
        <v>18.09</v>
      </c>
      <c r="T19" s="650">
        <v>4.61</v>
      </c>
      <c r="U19" s="650">
        <v>3.8799999999999994</v>
      </c>
      <c r="V19" s="650">
        <v>9.6</v>
      </c>
      <c r="W19" s="651"/>
      <c r="X19" s="630">
        <v>1932</v>
      </c>
      <c r="Y19" s="610">
        <f t="shared" si="3"/>
        <v>0.9966942148760332</v>
      </c>
      <c r="Z19" s="904">
        <f>SUM(AA19:AC19)</f>
        <v>7.489999999999999</v>
      </c>
      <c r="AA19" s="905"/>
      <c r="AB19" s="905">
        <v>6.06</v>
      </c>
      <c r="AC19" s="905">
        <v>1.43</v>
      </c>
      <c r="AD19" s="587"/>
      <c r="AE19" s="901">
        <f>+S19+Z19</f>
        <v>25.58</v>
      </c>
      <c r="AF19" s="646"/>
      <c r="AJ19" s="77"/>
    </row>
    <row r="20" spans="1:36" ht="24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800.35</v>
      </c>
      <c r="N20" s="818">
        <f t="shared" si="6"/>
        <v>200.54</v>
      </c>
      <c r="O20" s="818">
        <f t="shared" si="6"/>
        <v>422.12</v>
      </c>
      <c r="P20" s="818">
        <f t="shared" si="6"/>
        <v>173.05999999999997</v>
      </c>
      <c r="Q20" s="818">
        <f>+SUM(Q8:Q19)</f>
        <v>4.63</v>
      </c>
      <c r="R20" s="819">
        <f>+SUM(R8:R19)</f>
        <v>112926.44</v>
      </c>
      <c r="S20" s="820">
        <f aca="true" t="shared" si="7" ref="S20:AC20">+SUM(S8:S19)</f>
        <v>747.3100000000001</v>
      </c>
      <c r="T20" s="821">
        <f t="shared" si="7"/>
        <v>170.2</v>
      </c>
      <c r="U20" s="820">
        <f t="shared" si="7"/>
        <v>423.95</v>
      </c>
      <c r="V20" s="820">
        <f t="shared" si="7"/>
        <v>149.45</v>
      </c>
      <c r="W20" s="820">
        <f t="shared" si="7"/>
        <v>3.71</v>
      </c>
      <c r="X20" s="822">
        <f t="shared" si="7"/>
        <v>107722</v>
      </c>
      <c r="Y20" s="823">
        <f>+S20/G20</f>
        <v>0.9559743439517172</v>
      </c>
      <c r="Z20" s="897">
        <f t="shared" si="7"/>
        <v>257.05</v>
      </c>
      <c r="AA20" s="897">
        <f t="shared" si="7"/>
        <v>39.730000000000004</v>
      </c>
      <c r="AB20" s="897">
        <f t="shared" si="7"/>
        <v>39.260000000000005</v>
      </c>
      <c r="AC20" s="897">
        <f t="shared" si="7"/>
        <v>178.06</v>
      </c>
      <c r="AD20" s="824"/>
      <c r="AE20" s="825">
        <f>+SUM(AE8:AE19)</f>
        <v>1004.3599999999999</v>
      </c>
      <c r="AF20" s="646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1004,36 km, trong đó có 178,06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 t="str">
        <f>"- Trong tuần làm thêm "&amp;S31&amp;" km đường BTXM theo cơ chế hỗ trợ của tỉnh, nhận thêm "&amp;X31&amp;" tấn XM"</f>
        <v>- Trong tuần làm thêm 3,3 km đường BTXM theo cơ chế hỗ trợ của tỉnh, nhận thêm 198 tấn XM</v>
      </c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932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747.3100000000001</v>
      </c>
      <c r="T29" s="854">
        <f t="shared" si="8"/>
        <v>170.2</v>
      </c>
      <c r="U29" s="854">
        <f t="shared" si="8"/>
        <v>423.95</v>
      </c>
      <c r="V29" s="854">
        <f t="shared" si="8"/>
        <v>149.45</v>
      </c>
      <c r="W29" s="854">
        <f t="shared" si="8"/>
        <v>3.71</v>
      </c>
      <c r="X29" s="931">
        <f t="shared" si="8"/>
        <v>107722</v>
      </c>
    </row>
    <row r="30" spans="18:24" ht="15">
      <c r="R30" s="862" t="s">
        <v>362</v>
      </c>
      <c r="S30" s="854">
        <f>+'26.12.2013'!S20</f>
        <v>744.0100000000001</v>
      </c>
      <c r="T30" s="854">
        <f>+'26.12.2013'!T20</f>
        <v>170.04999999999998</v>
      </c>
      <c r="U30" s="854">
        <f>+'26.12.2013'!U20</f>
        <v>423.45</v>
      </c>
      <c r="V30" s="854">
        <f>+'26.12.2013'!V20</f>
        <v>146.79999999999998</v>
      </c>
      <c r="W30" s="854">
        <f>+'26.12.2013'!W20</f>
        <v>3.71</v>
      </c>
      <c r="X30" s="931">
        <f>+'26.12.2013'!X20</f>
        <v>107524</v>
      </c>
    </row>
    <row r="31" spans="18:24" ht="15">
      <c r="R31" s="862" t="s">
        <v>363</v>
      </c>
      <c r="S31" s="854">
        <f>ROUND(S20-S30,2)</f>
        <v>3.3</v>
      </c>
      <c r="T31" s="854">
        <f>+T20-T30</f>
        <v>0.15000000000000568</v>
      </c>
      <c r="U31" s="854">
        <f>+U20-U30</f>
        <v>0.5</v>
      </c>
      <c r="V31" s="854">
        <f>+V20-V30</f>
        <v>2.6500000000000057</v>
      </c>
      <c r="W31" s="854">
        <f>+W20-W30</f>
        <v>0</v>
      </c>
      <c r="X31" s="902">
        <f>+X20-X30</f>
        <v>198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f>+N42+O42+P42</f>
        <v>57.86</v>
      </c>
      <c r="N42" s="68">
        <v>23.35</v>
      </c>
      <c r="O42" s="68">
        <v>12.54</v>
      </c>
      <c r="P42" s="68">
        <v>21.97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30.04</v>
      </c>
      <c r="N46" s="863">
        <f>+N42-N43-N44-N45</f>
        <v>6.630000000000003</v>
      </c>
      <c r="O46" s="863">
        <f>+O42-O43-O44-O45</f>
        <v>10.94</v>
      </c>
      <c r="P46" s="863">
        <f>+P42-P43-P44-P45</f>
        <v>12.469999999999999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A5:AC5"/>
    <mergeCell ref="A20:B20"/>
    <mergeCell ref="N5:Q5"/>
    <mergeCell ref="R5:R6"/>
    <mergeCell ref="S5:S6"/>
    <mergeCell ref="T5:W5"/>
    <mergeCell ref="X5:X6"/>
    <mergeCell ref="Z5:Z6"/>
    <mergeCell ref="Z4:AC4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" bottom="0.251875" header="0.19" footer="0.31496062992125984"/>
  <pageSetup fitToHeight="0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368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78013.5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78013.5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367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76625.8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76625.8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22">
      <selection activeCell="H37" sqref="H3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356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69999.9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69999.9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67876.25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348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68104.59000000001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12383.590000000011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16.740000000000066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348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67876.25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12155.25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7.860000000000014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342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341</v>
      </c>
      <c r="U18" s="756">
        <v>3.02</v>
      </c>
      <c r="V18" s="646">
        <f t="shared" si="3"/>
        <v>4.46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</v>
      </c>
      <c r="Q20" s="820">
        <f t="shared" si="5"/>
        <v>1.3</v>
      </c>
      <c r="R20" s="822">
        <f t="shared" si="5"/>
        <v>64001.24999999999</v>
      </c>
      <c r="S20" s="823">
        <f t="shared" si="0"/>
        <v>0.6446073707653432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86.005</v>
      </c>
      <c r="R23" s="769">
        <f>+R20-55721</f>
        <v>8280.249999999993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37.80000000000001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331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</v>
      </c>
      <c r="N18" s="798">
        <f>0.43+0.22+0.03</f>
        <v>0.68</v>
      </c>
      <c r="O18" s="800">
        <f>+TXHL!U8</f>
        <v>0</v>
      </c>
      <c r="P18" s="798">
        <f>+TXHL!V8</f>
        <v>0.76</v>
      </c>
      <c r="Q18" s="800"/>
      <c r="R18" s="699">
        <f>+TXHL!X8+31</f>
        <v>97</v>
      </c>
      <c r="S18" s="704">
        <f t="shared" si="0"/>
        <v>0.5538461538461538</v>
      </c>
      <c r="T18" s="701" t="s">
        <v>334</v>
      </c>
      <c r="U18" s="757">
        <v>2.77</v>
      </c>
      <c r="V18" s="646">
        <f t="shared" si="3"/>
        <v>4.21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1003" t="s">
        <v>23</v>
      </c>
      <c r="B20" s="1004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444.064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97.549</v>
      </c>
      <c r="Q20" s="481">
        <f t="shared" si="5"/>
        <v>1.3</v>
      </c>
      <c r="R20" s="654">
        <f t="shared" si="5"/>
        <v>60339.590000000004</v>
      </c>
      <c r="S20" s="655">
        <f t="shared" si="0"/>
        <v>0.5943295216069211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517.644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770">
        <f>+M20+U20</f>
        <v>517.644</v>
      </c>
    </row>
    <row r="22" spans="2:22" ht="15">
      <c r="B22" s="162"/>
      <c r="O22" s="36"/>
      <c r="R22" s="165"/>
      <c r="S22" s="166"/>
      <c r="V22" s="793">
        <f>+V21-2.44</f>
        <v>515.204</v>
      </c>
    </row>
    <row r="23" spans="2:19" ht="15">
      <c r="B23" s="659"/>
      <c r="G23" s="167"/>
      <c r="M23" s="768">
        <f>+M20-395.625</f>
        <v>48.43900000000002</v>
      </c>
      <c r="R23" s="769">
        <f>+R20-55721</f>
        <v>4618.590000000004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636"/>
      <c r="V1" s="636"/>
      <c r="W1" s="146"/>
      <c r="X1" s="146"/>
    </row>
    <row r="2" spans="1:24" s="148" customFormat="1" ht="22.5" customHeight="1">
      <c r="A2" s="981" t="s">
        <v>330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637"/>
      <c r="V2" s="637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658"/>
      <c r="V3" s="658"/>
      <c r="W3" s="147"/>
      <c r="X3" s="147"/>
    </row>
    <row r="4" spans="1:23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8" t="s">
        <v>307</v>
      </c>
      <c r="N4" s="999"/>
      <c r="O4" s="999"/>
      <c r="P4" s="999"/>
      <c r="Q4" s="999"/>
      <c r="R4" s="1000"/>
      <c r="S4" s="986" t="s">
        <v>43</v>
      </c>
      <c r="T4" s="983" t="s">
        <v>14</v>
      </c>
      <c r="U4" s="986" t="s">
        <v>329</v>
      </c>
      <c r="V4" s="987" t="s">
        <v>313</v>
      </c>
      <c r="W4" s="150"/>
    </row>
    <row r="5" spans="1:24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6"/>
      <c r="T5" s="983"/>
      <c r="U5" s="986"/>
      <c r="V5" s="987"/>
      <c r="W5" s="152"/>
      <c r="X5" s="153"/>
    </row>
    <row r="6" spans="1:24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6"/>
      <c r="T6" s="983"/>
      <c r="U6" s="986"/>
      <c r="V6" s="98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563">
        <f t="shared" si="0"/>
        <v>0.5538461538461538</v>
      </c>
      <c r="T18" s="476" t="s">
        <v>322</v>
      </c>
      <c r="U18" s="757">
        <v>2</v>
      </c>
      <c r="V18" s="646">
        <f t="shared" si="3"/>
        <v>3.44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1003" t="s">
        <v>23</v>
      </c>
      <c r="B20" s="1004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395.61699999999996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88.912</v>
      </c>
      <c r="Q20" s="481">
        <f t="shared" si="5"/>
        <v>1.3</v>
      </c>
      <c r="R20" s="654">
        <f t="shared" si="5"/>
        <v>55752.03</v>
      </c>
      <c r="S20" s="655">
        <f t="shared" si="0"/>
        <v>0.5294886825988264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448.267</v>
      </c>
    </row>
    <row r="21" spans="2:22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636"/>
      <c r="AH1" s="636"/>
      <c r="AI1" s="146"/>
      <c r="AJ1" s="146"/>
    </row>
    <row r="2" spans="1:36" s="148" customFormat="1" ht="22.5" customHeight="1">
      <c r="A2" s="981" t="s">
        <v>324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637"/>
      <c r="AH2" s="637"/>
      <c r="AI2" s="147"/>
      <c r="AJ2" s="147"/>
    </row>
    <row r="3" spans="1:3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658"/>
      <c r="AH3" s="658"/>
      <c r="AI3" s="147"/>
      <c r="AJ3" s="147"/>
    </row>
    <row r="4" spans="1:35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1005" t="s">
        <v>323</v>
      </c>
      <c r="N4" s="1006"/>
      <c r="O4" s="1006"/>
      <c r="P4" s="1006"/>
      <c r="Q4" s="1006"/>
      <c r="R4" s="1007"/>
      <c r="S4" s="998" t="s">
        <v>325</v>
      </c>
      <c r="T4" s="999"/>
      <c r="U4" s="999"/>
      <c r="V4" s="999"/>
      <c r="W4" s="999"/>
      <c r="X4" s="1000"/>
      <c r="Y4" s="998" t="s">
        <v>307</v>
      </c>
      <c r="Z4" s="999"/>
      <c r="AA4" s="999"/>
      <c r="AB4" s="999"/>
      <c r="AC4" s="999"/>
      <c r="AD4" s="1000"/>
      <c r="AE4" s="986" t="s">
        <v>43</v>
      </c>
      <c r="AF4" s="983" t="s">
        <v>14</v>
      </c>
      <c r="AG4" s="986" t="s">
        <v>327</v>
      </c>
      <c r="AH4" s="987" t="s">
        <v>313</v>
      </c>
      <c r="AI4" s="150"/>
    </row>
    <row r="5" spans="1:36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1008" t="s">
        <v>38</v>
      </c>
      <c r="N5" s="1009" t="s">
        <v>21</v>
      </c>
      <c r="O5" s="1010"/>
      <c r="P5" s="1010"/>
      <c r="Q5" s="1011"/>
      <c r="R5" s="1012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4" t="s">
        <v>38</v>
      </c>
      <c r="Z5" s="990" t="s">
        <v>21</v>
      </c>
      <c r="AA5" s="991"/>
      <c r="AB5" s="991"/>
      <c r="AC5" s="992"/>
      <c r="AD5" s="993" t="s">
        <v>37</v>
      </c>
      <c r="AE5" s="986"/>
      <c r="AF5" s="983"/>
      <c r="AG5" s="986"/>
      <c r="AH5" s="987"/>
      <c r="AI5" s="152"/>
      <c r="AJ5" s="153"/>
    </row>
    <row r="6" spans="1:36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1008"/>
      <c r="N6" s="729" t="s">
        <v>39</v>
      </c>
      <c r="O6" s="729" t="s">
        <v>40</v>
      </c>
      <c r="P6" s="729" t="s">
        <v>41</v>
      </c>
      <c r="Q6" s="729" t="s">
        <v>42</v>
      </c>
      <c r="R6" s="1013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4"/>
      <c r="Z6" s="149" t="s">
        <v>39</v>
      </c>
      <c r="AA6" s="149" t="s">
        <v>40</v>
      </c>
      <c r="AB6" s="149" t="s">
        <v>41</v>
      </c>
      <c r="AC6" s="149" t="s">
        <v>42</v>
      </c>
      <c r="AD6" s="994"/>
      <c r="AE6" s="986"/>
      <c r="AF6" s="983"/>
      <c r="AG6" s="986"/>
      <c r="AH6" s="98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4"/>
        <v>0</v>
      </c>
      <c r="V18" s="471">
        <f t="shared" si="5"/>
        <v>-0.008000000000000007</v>
      </c>
      <c r="W18" s="471">
        <f t="shared" si="6"/>
        <v>0</v>
      </c>
      <c r="X18" s="471">
        <f t="shared" si="7"/>
        <v>62</v>
      </c>
      <c r="Y18" s="608">
        <f t="shared" si="8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9"/>
        <v>0.5538461538461538</v>
      </c>
      <c r="AF18" s="476" t="s">
        <v>322</v>
      </c>
      <c r="AG18" s="757">
        <v>2</v>
      </c>
      <c r="AH18" s="646">
        <f t="shared" si="10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1003" t="s">
        <v>23</v>
      </c>
      <c r="B20" s="1004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146.957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32.664</v>
      </c>
      <c r="W20" s="481">
        <f t="shared" si="13"/>
        <v>0.8</v>
      </c>
      <c r="X20" s="654">
        <f t="shared" si="13"/>
        <v>21291.988</v>
      </c>
      <c r="Y20" s="481">
        <f t="shared" si="12"/>
        <v>380.779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88.61200000000001</v>
      </c>
      <c r="AC20" s="481">
        <f t="shared" si="12"/>
        <v>1.3</v>
      </c>
      <c r="AD20" s="654">
        <f t="shared" si="12"/>
        <v>52184.299999999996</v>
      </c>
      <c r="AE20" s="655">
        <f>+Y20/G20</f>
        <v>0.509629695061887</v>
      </c>
      <c r="AF20" s="486"/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636"/>
      <c r="AH1" s="636"/>
      <c r="AI1" s="146"/>
      <c r="AJ1" s="146"/>
    </row>
    <row r="2" spans="1:36" s="148" customFormat="1" ht="22.5" customHeight="1">
      <c r="A2" s="981" t="s">
        <v>332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637"/>
      <c r="AH2" s="637"/>
      <c r="AI2" s="147"/>
      <c r="AJ2" s="147"/>
    </row>
    <row r="3" spans="1:3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658"/>
      <c r="AH3" s="658"/>
      <c r="AI3" s="147"/>
      <c r="AJ3" s="147"/>
    </row>
    <row r="4" spans="1:35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1005" t="s">
        <v>323</v>
      </c>
      <c r="N4" s="1006"/>
      <c r="O4" s="1006"/>
      <c r="P4" s="1006"/>
      <c r="Q4" s="1006"/>
      <c r="R4" s="1007"/>
      <c r="S4" s="998" t="s">
        <v>325</v>
      </c>
      <c r="T4" s="999"/>
      <c r="U4" s="999"/>
      <c r="V4" s="999"/>
      <c r="W4" s="999"/>
      <c r="X4" s="1000"/>
      <c r="Y4" s="998" t="s">
        <v>307</v>
      </c>
      <c r="Z4" s="999"/>
      <c r="AA4" s="999"/>
      <c r="AB4" s="999"/>
      <c r="AC4" s="999"/>
      <c r="AD4" s="1000"/>
      <c r="AE4" s="986" t="s">
        <v>43</v>
      </c>
      <c r="AF4" s="983" t="s">
        <v>14</v>
      </c>
      <c r="AG4" s="986" t="s">
        <v>333</v>
      </c>
      <c r="AH4" s="987" t="s">
        <v>313</v>
      </c>
      <c r="AI4" s="150"/>
    </row>
    <row r="5" spans="1:36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1008" t="s">
        <v>38</v>
      </c>
      <c r="N5" s="1009" t="s">
        <v>21</v>
      </c>
      <c r="O5" s="1010"/>
      <c r="P5" s="1010"/>
      <c r="Q5" s="1011"/>
      <c r="R5" s="1012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4" t="s">
        <v>38</v>
      </c>
      <c r="Z5" s="990" t="s">
        <v>21</v>
      </c>
      <c r="AA5" s="991"/>
      <c r="AB5" s="991"/>
      <c r="AC5" s="992"/>
      <c r="AD5" s="993" t="s">
        <v>37</v>
      </c>
      <c r="AE5" s="986"/>
      <c r="AF5" s="983"/>
      <c r="AG5" s="986"/>
      <c r="AH5" s="987"/>
      <c r="AI5" s="152"/>
      <c r="AJ5" s="153"/>
    </row>
    <row r="6" spans="1:36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1008"/>
      <c r="N6" s="729" t="s">
        <v>39</v>
      </c>
      <c r="O6" s="729" t="s">
        <v>40</v>
      </c>
      <c r="P6" s="729" t="s">
        <v>41</v>
      </c>
      <c r="Q6" s="729" t="s">
        <v>42</v>
      </c>
      <c r="R6" s="1013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4"/>
      <c r="Z6" s="149" t="s">
        <v>39</v>
      </c>
      <c r="AA6" s="149" t="s">
        <v>40</v>
      </c>
      <c r="AB6" s="149" t="s">
        <v>41</v>
      </c>
      <c r="AC6" s="149" t="s">
        <v>42</v>
      </c>
      <c r="AD6" s="994"/>
      <c r="AE6" s="986"/>
      <c r="AF6" s="983"/>
      <c r="AG6" s="986"/>
      <c r="AH6" s="98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3"/>
        <v>0</v>
      </c>
      <c r="V18" s="471">
        <f t="shared" si="3"/>
        <v>-0.008000000000000007</v>
      </c>
      <c r="W18" s="471">
        <f t="shared" si="3"/>
        <v>0</v>
      </c>
      <c r="X18" s="471">
        <f t="shared" si="3"/>
        <v>62</v>
      </c>
      <c r="Y18" s="608">
        <f t="shared" si="4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5"/>
        <v>0.5538461538461538</v>
      </c>
      <c r="AF18" s="476" t="s">
        <v>322</v>
      </c>
      <c r="AG18" s="757">
        <v>2</v>
      </c>
      <c r="AH18" s="646">
        <f t="shared" si="6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1003" t="s">
        <v>23</v>
      </c>
      <c r="B20" s="1004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146.957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32.664</v>
      </c>
      <c r="W20" s="481">
        <f t="shared" si="9"/>
        <v>0.8</v>
      </c>
      <c r="X20" s="654">
        <f t="shared" si="9"/>
        <v>21291.988</v>
      </c>
      <c r="Y20" s="481">
        <f t="shared" si="8"/>
        <v>380.779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88.61200000000001</v>
      </c>
      <c r="AC20" s="481">
        <f t="shared" si="8"/>
        <v>1.3</v>
      </c>
      <c r="AD20" s="654">
        <f t="shared" si="8"/>
        <v>52184.299999999996</v>
      </c>
      <c r="AE20" s="655">
        <f>+Y20/G20</f>
        <v>0.509629695061887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13">
      <selection activeCell="U20" sqref="U20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6.25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436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38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921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921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56.01</v>
      </c>
      <c r="T8" s="465">
        <v>10.23</v>
      </c>
      <c r="U8" s="465">
        <v>30.7</v>
      </c>
      <c r="V8" s="465">
        <v>15.08</v>
      </c>
      <c r="W8" s="465"/>
      <c r="X8" s="616">
        <v>10830</v>
      </c>
      <c r="Y8" s="549">
        <f>+S8/M8</f>
        <v>0.9270109235352532</v>
      </c>
      <c r="Z8" s="898">
        <f>SUM(AA8:AC8)</f>
        <v>7.790000000000001</v>
      </c>
      <c r="AA8" s="895">
        <v>4.15</v>
      </c>
      <c r="AB8" s="895"/>
      <c r="AC8" s="895">
        <v>3.64</v>
      </c>
      <c r="AD8" s="814"/>
      <c r="AE8" s="899">
        <f>+S8+Z8</f>
        <v>63.8</v>
      </c>
      <c r="AF8" s="646"/>
      <c r="AJ8" s="77"/>
    </row>
    <row r="9" spans="1:36" ht="24.75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919">
        <f aca="true" t="shared" si="1" ref="M9:M19">SUM(N9:Q9)</f>
        <v>63.7</v>
      </c>
      <c r="N9" s="558">
        <v>14.1</v>
      </c>
      <c r="O9" s="558">
        <v>40.7</v>
      </c>
      <c r="P9" s="558">
        <v>7.4</v>
      </c>
      <c r="Q9" s="531">
        <v>1.5</v>
      </c>
      <c r="R9" s="629">
        <v>10285</v>
      </c>
      <c r="S9" s="826">
        <f aca="true" t="shared" si="2" ref="S9:S19">SUM(T9:W9)</f>
        <v>60.309999999999995</v>
      </c>
      <c r="T9" s="344">
        <v>13.97</v>
      </c>
      <c r="U9" s="514">
        <v>38.48</v>
      </c>
      <c r="V9" s="344">
        <v>6.35</v>
      </c>
      <c r="W9" s="344">
        <v>1.51</v>
      </c>
      <c r="X9" s="827">
        <v>9818</v>
      </c>
      <c r="Y9" s="604">
        <f aca="true" t="shared" si="3" ref="Y9:Y19">+S9/M9</f>
        <v>0.9467817896389323</v>
      </c>
      <c r="Z9" s="903">
        <f>SUM(AA9:AC9)</f>
        <v>13.78</v>
      </c>
      <c r="AA9" s="896">
        <v>2.44</v>
      </c>
      <c r="AB9" s="896">
        <v>3.34</v>
      </c>
      <c r="AC9" s="896">
        <v>8</v>
      </c>
      <c r="AD9" s="828"/>
      <c r="AE9" s="900">
        <f aca="true" t="shared" si="4" ref="AE9:AE19">+S9+Z9</f>
        <v>74.08999999999999</v>
      </c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919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7435</v>
      </c>
      <c r="S10" s="826">
        <f>SUM(T10:W10)</f>
        <v>44</v>
      </c>
      <c r="T10" s="471">
        <v>11.3</v>
      </c>
      <c r="U10" s="471">
        <v>21.67</v>
      </c>
      <c r="V10" s="471">
        <v>11.03</v>
      </c>
      <c r="W10" s="471"/>
      <c r="X10" s="618">
        <v>7335</v>
      </c>
      <c r="Y10" s="604">
        <f t="shared" si="3"/>
        <v>0.977560542101755</v>
      </c>
      <c r="Z10" s="903">
        <f aca="true" t="shared" si="5" ref="Z10:Z18">SUM(AA10:AC10)</f>
        <v>27.62</v>
      </c>
      <c r="AA10" s="896"/>
      <c r="AB10" s="896">
        <v>1</v>
      </c>
      <c r="AC10" s="896">
        <v>26.62</v>
      </c>
      <c r="AD10" s="473"/>
      <c r="AE10" s="900">
        <f t="shared" si="4"/>
        <v>71.62</v>
      </c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919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30.04</v>
      </c>
      <c r="T11" s="471">
        <v>6.63</v>
      </c>
      <c r="U11" s="471">
        <v>10.94</v>
      </c>
      <c r="V11" s="471">
        <v>12.47</v>
      </c>
      <c r="W11" s="471"/>
      <c r="X11" s="618">
        <v>3172</v>
      </c>
      <c r="Y11" s="604">
        <f t="shared" si="3"/>
        <v>0.9778645833333333</v>
      </c>
      <c r="Z11" s="903">
        <f t="shared" si="5"/>
        <v>27.82</v>
      </c>
      <c r="AA11" s="896">
        <v>6.42</v>
      </c>
      <c r="AB11" s="896">
        <v>0.9</v>
      </c>
      <c r="AC11" s="896">
        <v>20.5</v>
      </c>
      <c r="AD11" s="828"/>
      <c r="AE11" s="900">
        <f t="shared" si="4"/>
        <v>57.86</v>
      </c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919">
        <f t="shared" si="1"/>
        <v>80.61</v>
      </c>
      <c r="N12" s="558">
        <v>18.81</v>
      </c>
      <c r="O12" s="558">
        <v>51.81</v>
      </c>
      <c r="P12" s="558">
        <v>6.86</v>
      </c>
      <c r="Q12" s="531">
        <v>3.13</v>
      </c>
      <c r="R12" s="629">
        <v>10767</v>
      </c>
      <c r="S12" s="767">
        <f t="shared" si="2"/>
        <v>80.50000000000001</v>
      </c>
      <c r="T12" s="471">
        <v>19.1</v>
      </c>
      <c r="U12" s="471">
        <v>51.8</v>
      </c>
      <c r="V12" s="471">
        <v>7.4</v>
      </c>
      <c r="W12" s="471">
        <v>2.2</v>
      </c>
      <c r="X12" s="618">
        <v>10730</v>
      </c>
      <c r="Y12" s="604">
        <f t="shared" si="3"/>
        <v>0.9986354050365961</v>
      </c>
      <c r="Z12" s="903">
        <f t="shared" si="5"/>
        <v>27.71</v>
      </c>
      <c r="AA12" s="896">
        <v>4.31</v>
      </c>
      <c r="AB12" s="896">
        <v>1.73</v>
      </c>
      <c r="AC12" s="896">
        <v>21.67</v>
      </c>
      <c r="AD12" s="828"/>
      <c r="AE12" s="900">
        <f t="shared" si="4"/>
        <v>108.21000000000001</v>
      </c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919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72.88</v>
      </c>
      <c r="T13" s="471">
        <v>9.28</v>
      </c>
      <c r="U13" s="471">
        <v>40.81</v>
      </c>
      <c r="V13" s="471">
        <v>22.79</v>
      </c>
      <c r="W13" s="471"/>
      <c r="X13" s="618">
        <v>10774</v>
      </c>
      <c r="Y13" s="604">
        <f t="shared" si="3"/>
        <v>0.8217386402074641</v>
      </c>
      <c r="Z13" s="903">
        <f t="shared" si="5"/>
        <v>12.2</v>
      </c>
      <c r="AA13" s="896"/>
      <c r="AB13" s="896"/>
      <c r="AC13" s="896">
        <v>12.2</v>
      </c>
      <c r="AD13" s="828"/>
      <c r="AE13" s="900">
        <f t="shared" si="4"/>
        <v>85.08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919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117.1</v>
      </c>
      <c r="T14" s="471">
        <v>23.8</v>
      </c>
      <c r="U14" s="471">
        <v>51.5</v>
      </c>
      <c r="V14" s="471">
        <v>41.8</v>
      </c>
      <c r="W14" s="471"/>
      <c r="X14" s="618">
        <v>16299</v>
      </c>
      <c r="Y14" s="604">
        <f t="shared" si="3"/>
        <v>0.875710439724798</v>
      </c>
      <c r="Z14" s="903">
        <f t="shared" si="5"/>
        <v>26.76</v>
      </c>
      <c r="AA14" s="896">
        <v>14.46</v>
      </c>
      <c r="AB14" s="896">
        <f>3.5+4.3</f>
        <v>7.8</v>
      </c>
      <c r="AC14" s="896">
        <v>4.5</v>
      </c>
      <c r="AD14" s="473"/>
      <c r="AE14" s="900">
        <f t="shared" si="4"/>
        <v>143.85999999999999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919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108.96</v>
      </c>
      <c r="T15" s="471">
        <v>23</v>
      </c>
      <c r="U15" s="471">
        <v>72.57</v>
      </c>
      <c r="V15" s="471">
        <v>13.39</v>
      </c>
      <c r="W15" s="471"/>
      <c r="X15" s="618">
        <v>14353</v>
      </c>
      <c r="Y15" s="604">
        <f t="shared" si="3"/>
        <v>0.9806498064980649</v>
      </c>
      <c r="Z15" s="903">
        <f t="shared" si="5"/>
        <v>58.55</v>
      </c>
      <c r="AA15" s="896"/>
      <c r="AB15" s="896">
        <v>11.55</v>
      </c>
      <c r="AC15" s="896">
        <v>47</v>
      </c>
      <c r="AD15" s="473"/>
      <c r="AE15" s="900">
        <f t="shared" si="4"/>
        <v>167.51</v>
      </c>
      <c r="AF15" s="646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919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55.199999999999996</v>
      </c>
      <c r="T16" s="471">
        <v>7.3</v>
      </c>
      <c r="U16" s="471">
        <v>43.5</v>
      </c>
      <c r="V16" s="471">
        <v>4.4</v>
      </c>
      <c r="W16" s="471"/>
      <c r="X16" s="618">
        <v>8459</v>
      </c>
      <c r="Y16" s="604">
        <f t="shared" si="3"/>
        <v>0.8646616541353382</v>
      </c>
      <c r="Z16" s="903">
        <f t="shared" si="5"/>
        <v>15</v>
      </c>
      <c r="AA16" s="896">
        <v>1</v>
      </c>
      <c r="AB16" s="896"/>
      <c r="AC16" s="896">
        <v>14</v>
      </c>
      <c r="AD16" s="473"/>
      <c r="AE16" s="900">
        <f t="shared" si="4"/>
        <v>70.19999999999999</v>
      </c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919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99.50000000000001</v>
      </c>
      <c r="T17" s="471">
        <v>40.17</v>
      </c>
      <c r="U17" s="471">
        <v>57.6</v>
      </c>
      <c r="V17" s="471">
        <v>1.73</v>
      </c>
      <c r="W17" s="471"/>
      <c r="X17" s="618">
        <v>13844</v>
      </c>
      <c r="Y17" s="604">
        <f t="shared" si="3"/>
        <v>0.9812623274161737</v>
      </c>
      <c r="Z17" s="903">
        <f t="shared" si="5"/>
        <v>25.45</v>
      </c>
      <c r="AA17" s="896">
        <v>6.95</v>
      </c>
      <c r="AB17" s="896"/>
      <c r="AC17" s="896">
        <v>18.5</v>
      </c>
      <c r="AD17" s="828"/>
      <c r="AE17" s="900">
        <f t="shared" si="4"/>
        <v>124.95000000000002</v>
      </c>
      <c r="AF17" s="646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8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1.52</v>
      </c>
      <c r="T18" s="607">
        <f>0.43+0.22+0.03+0.08</f>
        <v>0.76</v>
      </c>
      <c r="U18" s="623"/>
      <c r="V18" s="607">
        <v>0.76</v>
      </c>
      <c r="W18" s="623"/>
      <c r="X18" s="618">
        <f>+TXHL!X8+31</f>
        <v>97</v>
      </c>
      <c r="Y18" s="604">
        <f t="shared" si="3"/>
        <v>0.5846153846153846</v>
      </c>
      <c r="Z18" s="903">
        <f t="shared" si="5"/>
        <v>6.88</v>
      </c>
      <c r="AA18" s="896"/>
      <c r="AB18" s="896">
        <v>6.88</v>
      </c>
      <c r="AC18" s="896"/>
      <c r="AD18" s="473"/>
      <c r="AE18" s="900">
        <f t="shared" si="4"/>
        <v>8.4</v>
      </c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922">
        <f t="shared" si="1"/>
        <v>18.15</v>
      </c>
      <c r="N19" s="650">
        <v>4.73</v>
      </c>
      <c r="O19" s="650">
        <v>3.74</v>
      </c>
      <c r="P19" s="650">
        <v>9.68</v>
      </c>
      <c r="Q19" s="651"/>
      <c r="R19" s="630">
        <v>2449</v>
      </c>
      <c r="S19" s="584">
        <f t="shared" si="2"/>
        <v>17.99</v>
      </c>
      <c r="T19" s="650">
        <v>4.51</v>
      </c>
      <c r="U19" s="650">
        <v>3.8799999999999994</v>
      </c>
      <c r="V19" s="650">
        <v>9.6</v>
      </c>
      <c r="W19" s="651"/>
      <c r="X19" s="630">
        <v>1813</v>
      </c>
      <c r="Y19" s="610">
        <f t="shared" si="3"/>
        <v>0.9911845730027549</v>
      </c>
      <c r="Z19" s="904">
        <f>SUM(AA19:AC19)</f>
        <v>7.489999999999999</v>
      </c>
      <c r="AA19" s="905"/>
      <c r="AB19" s="905">
        <v>6.06</v>
      </c>
      <c r="AC19" s="905">
        <v>1.43</v>
      </c>
      <c r="AD19" s="587"/>
      <c r="AE19" s="901">
        <f t="shared" si="4"/>
        <v>25.479999999999997</v>
      </c>
      <c r="AF19" s="646"/>
      <c r="AJ19" s="77"/>
    </row>
    <row r="20" spans="1:36" ht="24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799.97</v>
      </c>
      <c r="N20" s="818">
        <f t="shared" si="6"/>
        <v>200.78900000000002</v>
      </c>
      <c r="O20" s="818">
        <f t="shared" si="6"/>
        <v>420.651</v>
      </c>
      <c r="P20" s="818">
        <f t="shared" si="6"/>
        <v>173.89999999999998</v>
      </c>
      <c r="Q20" s="818">
        <f>+SUM(Q8:Q19)</f>
        <v>4.63</v>
      </c>
      <c r="R20" s="819">
        <f>+SUM(R8:R19)</f>
        <v>114302</v>
      </c>
      <c r="S20" s="820">
        <f aca="true" t="shared" si="7" ref="S20:AC20">+SUM(S8:S19)</f>
        <v>744.0100000000001</v>
      </c>
      <c r="T20" s="821">
        <f t="shared" si="7"/>
        <v>170.04999999999998</v>
      </c>
      <c r="U20" s="820">
        <f t="shared" si="7"/>
        <v>423.45</v>
      </c>
      <c r="V20" s="820">
        <f t="shared" si="7"/>
        <v>146.79999999999998</v>
      </c>
      <c r="W20" s="820">
        <f t="shared" si="7"/>
        <v>3.71</v>
      </c>
      <c r="X20" s="822">
        <f t="shared" si="7"/>
        <v>107524</v>
      </c>
      <c r="Y20" s="823">
        <f>+S20/G20</f>
        <v>0.9517529159833498</v>
      </c>
      <c r="Z20" s="897">
        <f t="shared" si="7"/>
        <v>257.05</v>
      </c>
      <c r="AA20" s="897">
        <f t="shared" si="7"/>
        <v>39.730000000000004</v>
      </c>
      <c r="AB20" s="897">
        <f t="shared" si="7"/>
        <v>39.260000000000005</v>
      </c>
      <c r="AC20" s="897">
        <f t="shared" si="7"/>
        <v>178.06</v>
      </c>
      <c r="AD20" s="824"/>
      <c r="AE20" s="825">
        <f>+SUM(AE8:AE19)</f>
        <v>1001.0600000000001</v>
      </c>
      <c r="AF20" s="646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1001,06 km, trong đó có 178,06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 t="str">
        <f>"- Trong tuần làm thêm "&amp;S31&amp;" km đường BTXM theo cơ chế hỗ trợ của tỉnh, nhận thêm "&amp;X31&amp;" tấn XM"</f>
        <v>- Trong tuần làm thêm 15,77 km đường BTXM theo cơ chế hỗ trợ của tỉnh, nhận thêm 6357,5 tấn XM</v>
      </c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W24" s="68">
        <f>+Y17*R17</f>
        <v>14484.41321499014</v>
      </c>
      <c r="X24" s="932">
        <f>+X17/R17</f>
        <v>0.9378768376126279</v>
      </c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744.0100000000001</v>
      </c>
      <c r="T29" s="854">
        <f t="shared" si="8"/>
        <v>170.04999999999998</v>
      </c>
      <c r="U29" s="854">
        <f t="shared" si="8"/>
        <v>423.45</v>
      </c>
      <c r="V29" s="854">
        <f t="shared" si="8"/>
        <v>146.79999999999998</v>
      </c>
      <c r="W29" s="854">
        <f t="shared" si="8"/>
        <v>3.71</v>
      </c>
      <c r="X29" s="931">
        <f t="shared" si="8"/>
        <v>107524</v>
      </c>
    </row>
    <row r="30" spans="18:24" ht="15">
      <c r="R30" s="862" t="s">
        <v>362</v>
      </c>
      <c r="S30" s="854">
        <f>+'19.12.2013'!S20</f>
        <v>728.237</v>
      </c>
      <c r="T30" s="854">
        <f>+'19.12.2013'!T20</f>
        <v>165.737</v>
      </c>
      <c r="U30" s="854">
        <f>+'19.12.2013'!U20</f>
        <v>415.65999999999997</v>
      </c>
      <c r="V30" s="854">
        <f>+'19.12.2013'!V20</f>
        <v>143.12999999999997</v>
      </c>
      <c r="W30" s="854">
        <f>+'19.12.2013'!W20</f>
        <v>3.71</v>
      </c>
      <c r="X30" s="931">
        <f>+'19.12.2013'!X20</f>
        <v>101166.5</v>
      </c>
    </row>
    <row r="31" spans="18:24" ht="15">
      <c r="R31" s="862" t="s">
        <v>363</v>
      </c>
      <c r="S31" s="854">
        <f>ROUND(S20-S30,2)</f>
        <v>15.77</v>
      </c>
      <c r="T31" s="854">
        <f>+T20-T30</f>
        <v>4.312999999999988</v>
      </c>
      <c r="U31" s="854">
        <f>+U20-U30</f>
        <v>7.7900000000000205</v>
      </c>
      <c r="V31" s="854">
        <f>+V20-V30</f>
        <v>3.670000000000016</v>
      </c>
      <c r="W31" s="854">
        <f>+W20-W30</f>
        <v>0</v>
      </c>
      <c r="X31" s="902">
        <f>+X20-X30</f>
        <v>6357.5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f>+N42+O42+P42</f>
        <v>57.86</v>
      </c>
      <c r="N42" s="68">
        <v>23.35</v>
      </c>
      <c r="O42" s="68">
        <v>12.54</v>
      </c>
      <c r="P42" s="68">
        <v>21.97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30.04</v>
      </c>
      <c r="N46" s="863">
        <f>+N42-N43-N44-N45</f>
        <v>6.630000000000003</v>
      </c>
      <c r="O46" s="863">
        <f>+O42-O43-O44-O45</f>
        <v>10.94</v>
      </c>
      <c r="P46" s="863">
        <f>+P42-P43-P44-P45</f>
        <v>12.469999999999999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  <mergeCell ref="Z4:AC4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AA5:AC5"/>
    <mergeCell ref="A20:B20"/>
    <mergeCell ref="N5:Q5"/>
    <mergeCell ref="R5:R6"/>
    <mergeCell ref="S5:S6"/>
    <mergeCell ref="T5:W5"/>
    <mergeCell ref="X5:X6"/>
    <mergeCell ref="Z5:Z6"/>
  </mergeCells>
  <printOptions/>
  <pageMargins left="0.35625" right="0.2" top="0.5" bottom="0.251875" header="0.19" footer="0.31496062992125984"/>
  <pageSetup fitToHeight="0" fitToWidth="1"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636"/>
      <c r="AB1" s="146"/>
      <c r="AC1" s="146"/>
    </row>
    <row r="2" spans="1:29" s="148" customFormat="1" ht="22.5" customHeight="1">
      <c r="A2" s="981" t="s">
        <v>326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637"/>
      <c r="AB2" s="147"/>
      <c r="AC2" s="147"/>
    </row>
    <row r="3" spans="1:29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658"/>
      <c r="AB3" s="147"/>
      <c r="AC3" s="147"/>
    </row>
    <row r="4" spans="1:28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/>
      <c r="N4" s="996"/>
      <c r="O4" s="996"/>
      <c r="P4" s="996"/>
      <c r="Q4" s="996"/>
      <c r="R4" s="997"/>
      <c r="S4" s="998" t="s">
        <v>307</v>
      </c>
      <c r="T4" s="999"/>
      <c r="U4" s="999"/>
      <c r="V4" s="999"/>
      <c r="W4" s="999"/>
      <c r="X4" s="1000"/>
      <c r="Y4" s="986" t="s">
        <v>43</v>
      </c>
      <c r="Z4" s="983" t="s">
        <v>14</v>
      </c>
      <c r="AA4" s="987" t="s">
        <v>313</v>
      </c>
      <c r="AB4" s="150"/>
    </row>
    <row r="5" spans="1:29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3"/>
      <c r="AA5" s="987"/>
      <c r="AB5" s="152"/>
      <c r="AC5" s="153"/>
    </row>
    <row r="6" spans="1:29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3"/>
      <c r="AA6" s="98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1003" t="s">
        <v>23</v>
      </c>
      <c r="B20" s="100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636"/>
      <c r="AB1" s="146"/>
      <c r="AC1" s="146"/>
    </row>
    <row r="2" spans="1:29" s="148" customFormat="1" ht="22.5" customHeight="1">
      <c r="A2" s="981" t="s">
        <v>318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637"/>
      <c r="AB2" s="147"/>
      <c r="AC2" s="147"/>
    </row>
    <row r="3" spans="1:29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658"/>
      <c r="AB3" s="147"/>
      <c r="AC3" s="147"/>
    </row>
    <row r="4" spans="1:28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/>
      <c r="N4" s="996"/>
      <c r="O4" s="996"/>
      <c r="P4" s="996"/>
      <c r="Q4" s="996"/>
      <c r="R4" s="997"/>
      <c r="S4" s="998" t="s">
        <v>307</v>
      </c>
      <c r="T4" s="999"/>
      <c r="U4" s="999"/>
      <c r="V4" s="999"/>
      <c r="W4" s="999"/>
      <c r="X4" s="1000"/>
      <c r="Y4" s="986" t="s">
        <v>43</v>
      </c>
      <c r="Z4" s="983" t="s">
        <v>14</v>
      </c>
      <c r="AA4" s="987" t="s">
        <v>313</v>
      </c>
      <c r="AB4" s="150"/>
    </row>
    <row r="5" spans="1:29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3"/>
      <c r="AA5" s="987"/>
      <c r="AB5" s="152"/>
      <c r="AC5" s="153"/>
    </row>
    <row r="6" spans="1:29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3"/>
      <c r="AA6" s="98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1003" t="s">
        <v>23</v>
      </c>
      <c r="B20" s="100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287.93700000000007</v>
      </c>
      <c r="T20" s="480">
        <f t="shared" si="5"/>
        <v>61.696</v>
      </c>
      <c r="U20" s="481">
        <f t="shared" si="5"/>
        <v>154.721</v>
      </c>
      <c r="V20" s="481">
        <f t="shared" si="5"/>
        <v>70.22000000000001</v>
      </c>
      <c r="W20" s="481">
        <f t="shared" si="5"/>
        <v>1.3</v>
      </c>
      <c r="X20" s="654">
        <f t="shared" si="5"/>
        <v>39737.492000000006</v>
      </c>
      <c r="Y20" s="655">
        <f>+S20/G20</f>
        <v>0.38537116150584616</v>
      </c>
      <c r="Z20" s="486"/>
      <c r="AA20" s="656">
        <f>SUM(AA8:AA19)</f>
        <v>335.03700000000003</v>
      </c>
    </row>
    <row r="21" spans="2:27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636"/>
      <c r="AB1" s="146"/>
      <c r="AC1" s="146"/>
    </row>
    <row r="2" spans="1:29" s="148" customFormat="1" ht="22.5" customHeight="1">
      <c r="A2" s="981" t="s">
        <v>317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637"/>
      <c r="AB2" s="147"/>
      <c r="AC2" s="147"/>
    </row>
    <row r="3" spans="1:29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658"/>
      <c r="AB3" s="147"/>
      <c r="AC3" s="147"/>
    </row>
    <row r="4" spans="1:28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/>
      <c r="N4" s="996"/>
      <c r="O4" s="996"/>
      <c r="P4" s="996"/>
      <c r="Q4" s="996"/>
      <c r="R4" s="997"/>
      <c r="S4" s="998" t="s">
        <v>307</v>
      </c>
      <c r="T4" s="999"/>
      <c r="U4" s="999"/>
      <c r="V4" s="999"/>
      <c r="W4" s="999"/>
      <c r="X4" s="1000"/>
      <c r="Y4" s="986" t="s">
        <v>43</v>
      </c>
      <c r="Z4" s="983" t="s">
        <v>14</v>
      </c>
      <c r="AA4" s="987" t="s">
        <v>313</v>
      </c>
      <c r="AB4" s="150"/>
    </row>
    <row r="5" spans="1:29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3"/>
      <c r="AA5" s="987"/>
      <c r="AB5" s="152"/>
      <c r="AC5" s="153"/>
    </row>
    <row r="6" spans="1:29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3"/>
      <c r="AA6" s="98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1003" t="s">
        <v>23</v>
      </c>
      <c r="B20" s="100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269.154</v>
      </c>
      <c r="T20" s="480">
        <f t="shared" si="5"/>
        <v>56.593</v>
      </c>
      <c r="U20" s="481">
        <f t="shared" si="5"/>
        <v>148.221</v>
      </c>
      <c r="V20" s="481">
        <f t="shared" si="5"/>
        <v>63.03999999999999</v>
      </c>
      <c r="W20" s="481">
        <f t="shared" si="5"/>
        <v>1.3</v>
      </c>
      <c r="X20" s="654">
        <f t="shared" si="5"/>
        <v>38866.89199999999</v>
      </c>
      <c r="Y20" s="655">
        <f>+S20/G20</f>
        <v>0.360232236926635</v>
      </c>
      <c r="Z20" s="486"/>
      <c r="AA20" s="656">
        <f>SUM(AA8:AA19)</f>
        <v>316.254</v>
      </c>
    </row>
    <row r="21" spans="2:27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80" t="s">
        <v>36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636"/>
      <c r="AB1" s="146"/>
      <c r="AC1" s="146"/>
    </row>
    <row r="2" spans="1:29" s="148" customFormat="1" ht="22.5" customHeight="1">
      <c r="A2" s="981" t="s">
        <v>306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637"/>
      <c r="AB2" s="147"/>
      <c r="AC2" s="147"/>
    </row>
    <row r="3" spans="1:29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658"/>
      <c r="AB3" s="147"/>
      <c r="AC3" s="147"/>
    </row>
    <row r="4" spans="1:28" s="151" customFormat="1" ht="46.5" customHeight="1">
      <c r="A4" s="983" t="s">
        <v>0</v>
      </c>
      <c r="B4" s="984" t="s">
        <v>1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1020"/>
      <c r="N4" s="1021"/>
      <c r="O4" s="1021"/>
      <c r="P4" s="1021"/>
      <c r="Q4" s="1021"/>
      <c r="R4" s="1022"/>
      <c r="S4" s="998" t="s">
        <v>307</v>
      </c>
      <c r="T4" s="999"/>
      <c r="U4" s="999"/>
      <c r="V4" s="999"/>
      <c r="W4" s="999"/>
      <c r="X4" s="1000"/>
      <c r="Y4" s="986" t="s">
        <v>43</v>
      </c>
      <c r="Z4" s="983" t="s">
        <v>14</v>
      </c>
      <c r="AA4" s="987" t="s">
        <v>313</v>
      </c>
      <c r="AB4" s="150"/>
    </row>
    <row r="5" spans="1:29" s="151" customFormat="1" ht="14.2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1014" t="s">
        <v>38</v>
      </c>
      <c r="N5" s="1015" t="s">
        <v>21</v>
      </c>
      <c r="O5" s="1016"/>
      <c r="P5" s="1016"/>
      <c r="Q5" s="1017"/>
      <c r="R5" s="1018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3"/>
      <c r="AA5" s="987"/>
      <c r="AB5" s="152"/>
      <c r="AC5" s="153"/>
    </row>
    <row r="6" spans="1:29" s="151" customFormat="1" ht="76.5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1014"/>
      <c r="N6" s="660" t="s">
        <v>39</v>
      </c>
      <c r="O6" s="660" t="s">
        <v>40</v>
      </c>
      <c r="P6" s="660" t="s">
        <v>41</v>
      </c>
      <c r="Q6" s="660" t="s">
        <v>42</v>
      </c>
      <c r="R6" s="1019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3"/>
      <c r="AA6" s="98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1003" t="s">
        <v>23</v>
      </c>
      <c r="B20" s="1004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233.86399999999995</v>
      </c>
      <c r="T20" s="480">
        <f t="shared" si="5"/>
        <v>49.203</v>
      </c>
      <c r="U20" s="481">
        <f t="shared" si="5"/>
        <v>128.221</v>
      </c>
      <c r="V20" s="481">
        <f t="shared" si="5"/>
        <v>55.94</v>
      </c>
      <c r="W20" s="481">
        <f t="shared" si="5"/>
        <v>0.5</v>
      </c>
      <c r="X20" s="654">
        <f t="shared" si="5"/>
        <v>30923.311999999998</v>
      </c>
      <c r="Y20" s="655">
        <f>+S20/G20</f>
        <v>0.31300055676902644</v>
      </c>
      <c r="Z20" s="486"/>
      <c r="AA20" s="656">
        <f>SUM(AA8:AA19)</f>
        <v>270.96400000000006</v>
      </c>
    </row>
    <row r="21" spans="2:27" ht="30" customHeight="1">
      <c r="B21" s="1001" t="s">
        <v>48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41" t="s">
        <v>36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"/>
      <c r="AB1" s="9"/>
    </row>
    <row r="2" spans="1:28" s="5" customFormat="1" ht="22.5" customHeight="1">
      <c r="A2" s="1040" t="s">
        <v>50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"/>
      <c r="AB2" s="10"/>
    </row>
    <row r="3" spans="1:28" s="5" customFormat="1" ht="22.5" customHeight="1">
      <c r="A3" s="942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10"/>
      <c r="AB3" s="10"/>
    </row>
    <row r="4" spans="1:27" s="3" customFormat="1" ht="46.5" customHeight="1">
      <c r="A4" s="1041" t="s">
        <v>0</v>
      </c>
      <c r="B4" s="1028" t="s">
        <v>1</v>
      </c>
      <c r="C4" s="940" t="s">
        <v>25</v>
      </c>
      <c r="D4" s="940"/>
      <c r="E4" s="940"/>
      <c r="F4" s="940"/>
      <c r="G4" s="1025" t="s">
        <v>26</v>
      </c>
      <c r="H4" s="1026"/>
      <c r="I4" s="1026"/>
      <c r="J4" s="1026"/>
      <c r="K4" s="1026"/>
      <c r="L4" s="1027"/>
      <c r="M4" s="1025" t="s">
        <v>44</v>
      </c>
      <c r="N4" s="1026"/>
      <c r="O4" s="1026"/>
      <c r="P4" s="1026"/>
      <c r="Q4" s="1026"/>
      <c r="R4" s="1027"/>
      <c r="S4" s="1037" t="s">
        <v>45</v>
      </c>
      <c r="T4" s="1038"/>
      <c r="U4" s="1038"/>
      <c r="V4" s="1038"/>
      <c r="W4" s="1038"/>
      <c r="X4" s="1039"/>
      <c r="Y4" s="1042" t="s">
        <v>43</v>
      </c>
      <c r="Z4" s="1041" t="s">
        <v>14</v>
      </c>
      <c r="AA4" s="7"/>
    </row>
    <row r="5" spans="1:28" s="3" customFormat="1" ht="14.25" customHeight="1">
      <c r="A5" s="1041"/>
      <c r="B5" s="1028"/>
      <c r="C5" s="940" t="s">
        <v>20</v>
      </c>
      <c r="D5" s="934" t="s">
        <v>21</v>
      </c>
      <c r="E5" s="934"/>
      <c r="F5" s="934"/>
      <c r="G5" s="1028" t="s">
        <v>38</v>
      </c>
      <c r="H5" s="1034" t="s">
        <v>21</v>
      </c>
      <c r="I5" s="1034"/>
      <c r="J5" s="1034"/>
      <c r="K5" s="1034"/>
      <c r="L5" s="1035" t="s">
        <v>202</v>
      </c>
      <c r="M5" s="1028" t="s">
        <v>38</v>
      </c>
      <c r="N5" s="1029" t="s">
        <v>21</v>
      </c>
      <c r="O5" s="1030"/>
      <c r="P5" s="1030"/>
      <c r="Q5" s="1031"/>
      <c r="R5" s="1035" t="s">
        <v>37</v>
      </c>
      <c r="S5" s="1028" t="s">
        <v>38</v>
      </c>
      <c r="T5" s="1029" t="s">
        <v>21</v>
      </c>
      <c r="U5" s="1030"/>
      <c r="V5" s="1030"/>
      <c r="W5" s="1031"/>
      <c r="X5" s="1035" t="s">
        <v>37</v>
      </c>
      <c r="Y5" s="1042"/>
      <c r="Z5" s="1041"/>
      <c r="AA5" s="6"/>
      <c r="AB5" s="4"/>
    </row>
    <row r="6" spans="1:28" s="3" customFormat="1" ht="73.5" customHeight="1">
      <c r="A6" s="1041"/>
      <c r="B6" s="1028"/>
      <c r="C6" s="940"/>
      <c r="D6" s="8" t="s">
        <v>17</v>
      </c>
      <c r="E6" s="8" t="s">
        <v>18</v>
      </c>
      <c r="F6" s="8" t="s">
        <v>19</v>
      </c>
      <c r="G6" s="1028"/>
      <c r="H6" s="39" t="s">
        <v>39</v>
      </c>
      <c r="I6" s="39" t="s">
        <v>40</v>
      </c>
      <c r="J6" s="39" t="s">
        <v>41</v>
      </c>
      <c r="K6" s="39" t="s">
        <v>42</v>
      </c>
      <c r="L6" s="1036"/>
      <c r="M6" s="1028"/>
      <c r="N6" s="39" t="s">
        <v>39</v>
      </c>
      <c r="O6" s="39" t="s">
        <v>40</v>
      </c>
      <c r="P6" s="39" t="s">
        <v>41</v>
      </c>
      <c r="Q6" s="39" t="s">
        <v>42</v>
      </c>
      <c r="R6" s="1036"/>
      <c r="S6" s="1028"/>
      <c r="T6" s="39" t="s">
        <v>39</v>
      </c>
      <c r="U6" s="39" t="s">
        <v>40</v>
      </c>
      <c r="V6" s="39" t="s">
        <v>41</v>
      </c>
      <c r="W6" s="39" t="s">
        <v>42</v>
      </c>
      <c r="X6" s="1036"/>
      <c r="Y6" s="1042"/>
      <c r="Z6" s="104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1032" t="s">
        <v>23</v>
      </c>
      <c r="B20" s="1033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1023" t="s">
        <v>48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41" t="s">
        <v>36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"/>
      <c r="AB1" s="9"/>
    </row>
    <row r="2" spans="1:28" s="5" customFormat="1" ht="22.5" customHeight="1">
      <c r="A2" s="1040"/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"/>
      <c r="AB2" s="10"/>
    </row>
    <row r="3" spans="1:28" s="5" customFormat="1" ht="22.5" customHeight="1">
      <c r="A3" s="942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10"/>
      <c r="AB3" s="10"/>
    </row>
    <row r="4" spans="1:27" s="3" customFormat="1" ht="46.5" customHeight="1">
      <c r="A4" s="1041" t="s">
        <v>0</v>
      </c>
      <c r="B4" s="1028" t="s">
        <v>1</v>
      </c>
      <c r="C4" s="940" t="s">
        <v>25</v>
      </c>
      <c r="D4" s="940"/>
      <c r="E4" s="940"/>
      <c r="F4" s="940"/>
      <c r="G4" s="1025" t="s">
        <v>26</v>
      </c>
      <c r="H4" s="1026"/>
      <c r="I4" s="1026"/>
      <c r="J4" s="1026"/>
      <c r="K4" s="1026"/>
      <c r="L4" s="1027"/>
      <c r="M4" s="1025" t="s">
        <v>44</v>
      </c>
      <c r="N4" s="1026"/>
      <c r="O4" s="1026"/>
      <c r="P4" s="1026"/>
      <c r="Q4" s="1026"/>
      <c r="R4" s="1027"/>
      <c r="S4" s="1037" t="s">
        <v>45</v>
      </c>
      <c r="T4" s="1038"/>
      <c r="U4" s="1038"/>
      <c r="V4" s="1038"/>
      <c r="W4" s="1038"/>
      <c r="X4" s="1039"/>
      <c r="Y4" s="1045" t="s">
        <v>43</v>
      </c>
      <c r="Z4" s="1041" t="s">
        <v>14</v>
      </c>
      <c r="AA4" s="7"/>
    </row>
    <row r="5" spans="1:28" s="3" customFormat="1" ht="14.25" customHeight="1">
      <c r="A5" s="1041"/>
      <c r="B5" s="1028"/>
      <c r="C5" s="940" t="s">
        <v>20</v>
      </c>
      <c r="D5" s="934" t="s">
        <v>21</v>
      </c>
      <c r="E5" s="934"/>
      <c r="F5" s="934"/>
      <c r="G5" s="1028" t="s">
        <v>38</v>
      </c>
      <c r="H5" s="1034" t="s">
        <v>21</v>
      </c>
      <c r="I5" s="1034"/>
      <c r="J5" s="1034"/>
      <c r="K5" s="1034"/>
      <c r="L5" s="1035" t="s">
        <v>202</v>
      </c>
      <c r="M5" s="1028" t="s">
        <v>38</v>
      </c>
      <c r="N5" s="1029" t="s">
        <v>21</v>
      </c>
      <c r="O5" s="1030"/>
      <c r="P5" s="1030"/>
      <c r="Q5" s="1031"/>
      <c r="R5" s="1035" t="s">
        <v>37</v>
      </c>
      <c r="S5" s="1028" t="s">
        <v>38</v>
      </c>
      <c r="T5" s="1029" t="s">
        <v>21</v>
      </c>
      <c r="U5" s="1030"/>
      <c r="V5" s="1030"/>
      <c r="W5" s="1031"/>
      <c r="X5" s="1035" t="s">
        <v>37</v>
      </c>
      <c r="Y5" s="1045"/>
      <c r="Z5" s="1041"/>
      <c r="AA5" s="6"/>
      <c r="AB5" s="4"/>
    </row>
    <row r="6" spans="1:28" s="3" customFormat="1" ht="73.5" customHeight="1">
      <c r="A6" s="1041"/>
      <c r="B6" s="1028"/>
      <c r="C6" s="940"/>
      <c r="D6" s="8" t="s">
        <v>17</v>
      </c>
      <c r="E6" s="8" t="s">
        <v>18</v>
      </c>
      <c r="F6" s="8" t="s">
        <v>19</v>
      </c>
      <c r="G6" s="1028"/>
      <c r="H6" s="39" t="s">
        <v>39</v>
      </c>
      <c r="I6" s="39" t="s">
        <v>40</v>
      </c>
      <c r="J6" s="39" t="s">
        <v>41</v>
      </c>
      <c r="K6" s="39" t="s">
        <v>42</v>
      </c>
      <c r="L6" s="1036"/>
      <c r="M6" s="1028"/>
      <c r="N6" s="39" t="s">
        <v>39</v>
      </c>
      <c r="O6" s="39" t="s">
        <v>40</v>
      </c>
      <c r="P6" s="39" t="s">
        <v>41</v>
      </c>
      <c r="Q6" s="39" t="s">
        <v>42</v>
      </c>
      <c r="R6" s="1036"/>
      <c r="S6" s="1028"/>
      <c r="T6" s="39" t="s">
        <v>39</v>
      </c>
      <c r="U6" s="39" t="s">
        <v>40</v>
      </c>
      <c r="V6" s="39" t="s">
        <v>41</v>
      </c>
      <c r="W6" s="39" t="s">
        <v>42</v>
      </c>
      <c r="X6" s="1036"/>
      <c r="Y6" s="1045"/>
      <c r="Z6" s="104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1043" t="s">
        <v>23</v>
      </c>
      <c r="B20" s="1044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1023" t="s">
        <v>48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941" t="s">
        <v>36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"/>
      <c r="AB1" s="9"/>
    </row>
    <row r="2" spans="1:28" s="5" customFormat="1" ht="22.5" customHeight="1">
      <c r="A2" s="1040" t="s">
        <v>305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0"/>
      <c r="V2" s="1040"/>
      <c r="W2" s="1040"/>
      <c r="X2" s="1040"/>
      <c r="Y2" s="1040"/>
      <c r="Z2" s="1040"/>
      <c r="AA2" s="10"/>
      <c r="AB2" s="10"/>
    </row>
    <row r="3" spans="1:28" s="5" customFormat="1" ht="22.5" customHeight="1">
      <c r="A3" s="942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10"/>
      <c r="AB3" s="10"/>
    </row>
    <row r="4" spans="1:27" s="3" customFormat="1" ht="46.5" customHeight="1">
      <c r="A4" s="1041" t="s">
        <v>0</v>
      </c>
      <c r="B4" s="1028" t="s">
        <v>1</v>
      </c>
      <c r="C4" s="940" t="s">
        <v>25</v>
      </c>
      <c r="D4" s="940"/>
      <c r="E4" s="940"/>
      <c r="F4" s="940"/>
      <c r="G4" s="1025" t="s">
        <v>26</v>
      </c>
      <c r="H4" s="1026"/>
      <c r="I4" s="1026"/>
      <c r="J4" s="1026"/>
      <c r="K4" s="1026"/>
      <c r="L4" s="1027"/>
      <c r="M4" s="1025" t="s">
        <v>44</v>
      </c>
      <c r="N4" s="1026"/>
      <c r="O4" s="1026"/>
      <c r="P4" s="1026"/>
      <c r="Q4" s="1026"/>
      <c r="R4" s="1027"/>
      <c r="S4" s="1037" t="s">
        <v>45</v>
      </c>
      <c r="T4" s="1038"/>
      <c r="U4" s="1038"/>
      <c r="V4" s="1038"/>
      <c r="W4" s="1038"/>
      <c r="X4" s="1039"/>
      <c r="Y4" s="1045" t="s">
        <v>43</v>
      </c>
      <c r="Z4" s="1041" t="s">
        <v>14</v>
      </c>
      <c r="AA4" s="7"/>
    </row>
    <row r="5" spans="1:28" s="3" customFormat="1" ht="14.25" customHeight="1">
      <c r="A5" s="1041"/>
      <c r="B5" s="1028"/>
      <c r="C5" s="940" t="s">
        <v>20</v>
      </c>
      <c r="D5" s="934" t="s">
        <v>21</v>
      </c>
      <c r="E5" s="934"/>
      <c r="F5" s="934"/>
      <c r="G5" s="1028" t="s">
        <v>38</v>
      </c>
      <c r="H5" s="1034" t="s">
        <v>21</v>
      </c>
      <c r="I5" s="1034"/>
      <c r="J5" s="1034"/>
      <c r="K5" s="1034"/>
      <c r="L5" s="1035" t="s">
        <v>202</v>
      </c>
      <c r="M5" s="1028" t="s">
        <v>38</v>
      </c>
      <c r="N5" s="1029" t="s">
        <v>21</v>
      </c>
      <c r="O5" s="1030"/>
      <c r="P5" s="1030"/>
      <c r="Q5" s="1031"/>
      <c r="R5" s="1035" t="s">
        <v>37</v>
      </c>
      <c r="S5" s="1028" t="s">
        <v>38</v>
      </c>
      <c r="T5" s="1029" t="s">
        <v>21</v>
      </c>
      <c r="U5" s="1030"/>
      <c r="V5" s="1030"/>
      <c r="W5" s="1031"/>
      <c r="X5" s="1035" t="s">
        <v>37</v>
      </c>
      <c r="Y5" s="1045"/>
      <c r="Z5" s="1041"/>
      <c r="AA5" s="6"/>
      <c r="AB5" s="4"/>
    </row>
    <row r="6" spans="1:28" s="3" customFormat="1" ht="76.5">
      <c r="A6" s="1041"/>
      <c r="B6" s="1028"/>
      <c r="C6" s="940"/>
      <c r="D6" s="8" t="s">
        <v>17</v>
      </c>
      <c r="E6" s="8" t="s">
        <v>18</v>
      </c>
      <c r="F6" s="8" t="s">
        <v>19</v>
      </c>
      <c r="G6" s="1028"/>
      <c r="H6" s="39" t="s">
        <v>39</v>
      </c>
      <c r="I6" s="39" t="s">
        <v>40</v>
      </c>
      <c r="J6" s="39" t="s">
        <v>41</v>
      </c>
      <c r="K6" s="39" t="s">
        <v>42</v>
      </c>
      <c r="L6" s="1036"/>
      <c r="M6" s="1028"/>
      <c r="N6" s="39" t="s">
        <v>39</v>
      </c>
      <c r="O6" s="39" t="s">
        <v>40</v>
      </c>
      <c r="P6" s="39" t="s">
        <v>41</v>
      </c>
      <c r="Q6" s="39" t="s">
        <v>42</v>
      </c>
      <c r="R6" s="1036"/>
      <c r="S6" s="1028"/>
      <c r="T6" s="39" t="s">
        <v>39</v>
      </c>
      <c r="U6" s="39" t="s">
        <v>40</v>
      </c>
      <c r="V6" s="39" t="s">
        <v>41</v>
      </c>
      <c r="W6" s="39" t="s">
        <v>42</v>
      </c>
      <c r="X6" s="1036"/>
      <c r="Y6" s="1045"/>
      <c r="Z6" s="1041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1.52</v>
      </c>
      <c r="T18" s="607">
        <f>+TXHL!T8</f>
        <v>0.76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0.5846153846153846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1043" t="s">
        <v>23</v>
      </c>
      <c r="B20" s="1044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222.191</v>
      </c>
      <c r="T20" s="593">
        <f t="shared" si="5"/>
        <v>48.913000000000004</v>
      </c>
      <c r="U20" s="594">
        <f t="shared" si="5"/>
        <v>120.43800000000002</v>
      </c>
      <c r="V20" s="594">
        <f t="shared" si="5"/>
        <v>52.34</v>
      </c>
      <c r="W20" s="594">
        <f t="shared" si="5"/>
        <v>0.5</v>
      </c>
      <c r="X20" s="622">
        <f t="shared" si="5"/>
        <v>28090.311999999994</v>
      </c>
      <c r="Y20" s="596">
        <f>+S20/G20</f>
        <v>0.29737756434965096</v>
      </c>
      <c r="Z20" s="597"/>
    </row>
    <row r="21" spans="2:26" ht="30" customHeight="1">
      <c r="B21" s="1023" t="s">
        <v>48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298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983" t="s">
        <v>0</v>
      </c>
      <c r="B4" s="984" t="s">
        <v>160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 t="s">
        <v>44</v>
      </c>
      <c r="N4" s="996"/>
      <c r="O4" s="996"/>
      <c r="P4" s="996"/>
      <c r="Q4" s="996"/>
      <c r="R4" s="997"/>
      <c r="S4" s="998" t="s">
        <v>45</v>
      </c>
      <c r="T4" s="999"/>
      <c r="U4" s="999"/>
      <c r="V4" s="999"/>
      <c r="W4" s="999"/>
      <c r="X4" s="1000"/>
      <c r="Y4" s="986" t="s">
        <v>43</v>
      </c>
      <c r="Z4" s="986" t="s">
        <v>14</v>
      </c>
    </row>
    <row r="5" spans="1:26" s="151" customFormat="1" ht="15.7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6"/>
    </row>
    <row r="6" spans="1:26" s="151" customFormat="1" ht="95.25" customHeight="1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6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1046" t="s">
        <v>23</v>
      </c>
      <c r="B20" s="1046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80" t="s">
        <v>52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146"/>
      <c r="X1" s="146"/>
    </row>
    <row r="2" spans="1:24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147"/>
      <c r="X3" s="147"/>
    </row>
    <row r="4" spans="1:23" s="151" customFormat="1" ht="73.5" customHeight="1">
      <c r="A4" s="1056" t="s">
        <v>0</v>
      </c>
      <c r="B4" s="985" t="s">
        <v>160</v>
      </c>
      <c r="C4" s="1049" t="s">
        <v>26</v>
      </c>
      <c r="D4" s="1050"/>
      <c r="E4" s="1050"/>
      <c r="F4" s="1050"/>
      <c r="G4" s="1050"/>
      <c r="H4" s="1051"/>
      <c r="I4" s="1049" t="s">
        <v>44</v>
      </c>
      <c r="J4" s="1050"/>
      <c r="K4" s="1050"/>
      <c r="L4" s="1050"/>
      <c r="M4" s="1050"/>
      <c r="N4" s="1051"/>
      <c r="O4" s="1052" t="s">
        <v>45</v>
      </c>
      <c r="P4" s="1053"/>
      <c r="Q4" s="1053"/>
      <c r="R4" s="1053"/>
      <c r="S4" s="1053"/>
      <c r="T4" s="1054"/>
      <c r="U4" s="1055" t="s">
        <v>43</v>
      </c>
      <c r="V4" s="1056" t="s">
        <v>14</v>
      </c>
      <c r="W4" s="150"/>
    </row>
    <row r="5" spans="1:24" s="151" customFormat="1" ht="39" customHeight="1">
      <c r="A5" s="1056"/>
      <c r="B5" s="985"/>
      <c r="C5" s="984" t="s">
        <v>38</v>
      </c>
      <c r="D5" s="989" t="s">
        <v>21</v>
      </c>
      <c r="E5" s="989"/>
      <c r="F5" s="989"/>
      <c r="G5" s="989"/>
      <c r="H5" s="993" t="s">
        <v>202</v>
      </c>
      <c r="I5" s="984" t="s">
        <v>38</v>
      </c>
      <c r="J5" s="990" t="s">
        <v>21</v>
      </c>
      <c r="K5" s="991"/>
      <c r="L5" s="991"/>
      <c r="M5" s="992"/>
      <c r="N5" s="993" t="s">
        <v>37</v>
      </c>
      <c r="O5" s="984" t="s">
        <v>38</v>
      </c>
      <c r="P5" s="990" t="s">
        <v>21</v>
      </c>
      <c r="Q5" s="991"/>
      <c r="R5" s="991"/>
      <c r="S5" s="992"/>
      <c r="T5" s="993" t="s">
        <v>37</v>
      </c>
      <c r="U5" s="1055"/>
      <c r="V5" s="1056"/>
      <c r="W5" s="152"/>
      <c r="X5" s="153"/>
    </row>
    <row r="6" spans="1:24" s="151" customFormat="1" ht="73.5" customHeight="1">
      <c r="A6" s="1056"/>
      <c r="B6" s="985"/>
      <c r="C6" s="984"/>
      <c r="D6" s="149" t="s">
        <v>39</v>
      </c>
      <c r="E6" s="149" t="s">
        <v>40</v>
      </c>
      <c r="F6" s="149" t="s">
        <v>41</v>
      </c>
      <c r="G6" s="149" t="s">
        <v>42</v>
      </c>
      <c r="H6" s="994"/>
      <c r="I6" s="984"/>
      <c r="J6" s="149" t="s">
        <v>39</v>
      </c>
      <c r="K6" s="149" t="s">
        <v>40</v>
      </c>
      <c r="L6" s="149" t="s">
        <v>41</v>
      </c>
      <c r="M6" s="149" t="s">
        <v>42</v>
      </c>
      <c r="N6" s="994"/>
      <c r="O6" s="984"/>
      <c r="P6" s="149" t="s">
        <v>39</v>
      </c>
      <c r="Q6" s="149" t="s">
        <v>40</v>
      </c>
      <c r="R6" s="149" t="s">
        <v>41</v>
      </c>
      <c r="S6" s="149" t="s">
        <v>42</v>
      </c>
      <c r="T6" s="994"/>
      <c r="U6" s="1055"/>
      <c r="V6" s="1056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1047" t="s">
        <v>23</v>
      </c>
      <c r="B36" s="1048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87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983" t="s">
        <v>0</v>
      </c>
      <c r="B4" s="984" t="s">
        <v>160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 t="s">
        <v>44</v>
      </c>
      <c r="N4" s="996"/>
      <c r="O4" s="996"/>
      <c r="P4" s="996"/>
      <c r="Q4" s="996"/>
      <c r="R4" s="997"/>
      <c r="S4" s="998" t="s">
        <v>45</v>
      </c>
      <c r="T4" s="999"/>
      <c r="U4" s="999"/>
      <c r="V4" s="999"/>
      <c r="W4" s="999"/>
      <c r="X4" s="1000"/>
      <c r="Y4" s="986" t="s">
        <v>43</v>
      </c>
      <c r="Z4" s="986" t="s">
        <v>14</v>
      </c>
    </row>
    <row r="5" spans="1:26" s="151" customFormat="1" ht="15.7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6"/>
    </row>
    <row r="6" spans="1:26" s="151" customFormat="1" ht="95.25" customHeight="1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6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1057" t="s">
        <v>23</v>
      </c>
      <c r="B17" s="1058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3">
      <selection activeCell="R10" sqref="R10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5.50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435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38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8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921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/>
      <c r="T8" s="465"/>
      <c r="U8" s="465"/>
      <c r="V8" s="465"/>
      <c r="W8" s="465"/>
      <c r="X8" s="616"/>
      <c r="Y8" s="549"/>
      <c r="Z8" s="898"/>
      <c r="AA8" s="895"/>
      <c r="AB8" s="895"/>
      <c r="AC8" s="895"/>
      <c r="AD8" s="814"/>
      <c r="AE8" s="899"/>
      <c r="AF8" s="646"/>
      <c r="AJ8" s="77"/>
    </row>
    <row r="9" spans="1:36" ht="24.75" customHeight="1">
      <c r="A9" s="923">
        <v>2</v>
      </c>
      <c r="B9" s="924" t="s">
        <v>4</v>
      </c>
      <c r="C9" s="925">
        <v>111.7</v>
      </c>
      <c r="D9" s="926">
        <v>31.7</v>
      </c>
      <c r="E9" s="926">
        <v>66.3</v>
      </c>
      <c r="F9" s="926">
        <v>13.6</v>
      </c>
      <c r="G9" s="927">
        <f aca="true" t="shared" si="0" ref="G9:G19">SUM(H9:K9)</f>
        <v>57.73899999999999</v>
      </c>
      <c r="H9" s="927">
        <v>19.985</v>
      </c>
      <c r="I9" s="927">
        <v>30.608999999999998</v>
      </c>
      <c r="J9" s="927">
        <v>7.145</v>
      </c>
      <c r="K9" s="928"/>
      <c r="L9" s="929">
        <v>8115</v>
      </c>
      <c r="M9" s="930">
        <f>SUM(N9:Q9)</f>
        <v>63.7</v>
      </c>
      <c r="N9" s="927">
        <v>14.1</v>
      </c>
      <c r="O9" s="927">
        <v>40.7</v>
      </c>
      <c r="P9" s="927">
        <v>7.4</v>
      </c>
      <c r="Q9" s="928">
        <v>1.5</v>
      </c>
      <c r="R9" s="929">
        <v>10285</v>
      </c>
      <c r="S9" s="826"/>
      <c r="T9" s="344"/>
      <c r="U9" s="514"/>
      <c r="V9" s="344"/>
      <c r="W9" s="344"/>
      <c r="X9" s="827"/>
      <c r="Y9" s="604"/>
      <c r="Z9" s="903"/>
      <c r="AA9" s="896"/>
      <c r="AB9" s="896"/>
      <c r="AC9" s="896"/>
      <c r="AD9" s="828"/>
      <c r="AE9" s="900"/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919">
        <f aca="true" t="shared" si="1" ref="M10:M19">SUM(N10:Q10)</f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/>
      <c r="T10" s="471"/>
      <c r="U10" s="471"/>
      <c r="V10" s="471"/>
      <c r="W10" s="471"/>
      <c r="X10" s="618"/>
      <c r="Y10" s="604"/>
      <c r="Z10" s="903"/>
      <c r="AA10" s="896"/>
      <c r="AB10" s="896"/>
      <c r="AC10" s="896"/>
      <c r="AD10" s="473"/>
      <c r="AE10" s="900"/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919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/>
      <c r="T11" s="471"/>
      <c r="U11" s="471"/>
      <c r="V11" s="471"/>
      <c r="W11" s="471"/>
      <c r="X11" s="618"/>
      <c r="Y11" s="604"/>
      <c r="Z11" s="903"/>
      <c r="AA11" s="896"/>
      <c r="AB11" s="896"/>
      <c r="AC11" s="896"/>
      <c r="AD11" s="828"/>
      <c r="AE11" s="900"/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919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/>
      <c r="T12" s="471"/>
      <c r="U12" s="471"/>
      <c r="V12" s="471"/>
      <c r="W12" s="471"/>
      <c r="X12" s="618"/>
      <c r="Y12" s="604"/>
      <c r="Z12" s="903"/>
      <c r="AA12" s="896"/>
      <c r="AB12" s="896"/>
      <c r="AC12" s="896"/>
      <c r="AD12" s="828"/>
      <c r="AE12" s="900"/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919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/>
      <c r="T13" s="471"/>
      <c r="U13" s="471"/>
      <c r="V13" s="471"/>
      <c r="W13" s="471"/>
      <c r="X13" s="618"/>
      <c r="Y13" s="604"/>
      <c r="Z13" s="903"/>
      <c r="AA13" s="896"/>
      <c r="AB13" s="896"/>
      <c r="AC13" s="896"/>
      <c r="AD13" s="828"/>
      <c r="AE13" s="900"/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919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/>
      <c r="T14" s="471"/>
      <c r="U14" s="471"/>
      <c r="V14" s="471"/>
      <c r="W14" s="471"/>
      <c r="X14" s="618"/>
      <c r="Y14" s="604"/>
      <c r="Z14" s="903"/>
      <c r="AA14" s="896"/>
      <c r="AB14" s="896"/>
      <c r="AC14" s="896"/>
      <c r="AD14" s="473"/>
      <c r="AE14" s="900"/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919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/>
      <c r="T15" s="471"/>
      <c r="U15" s="471"/>
      <c r="V15" s="471"/>
      <c r="W15" s="471"/>
      <c r="X15" s="618"/>
      <c r="Y15" s="604"/>
      <c r="Z15" s="903"/>
      <c r="AA15" s="896"/>
      <c r="AB15" s="896"/>
      <c r="AC15" s="896"/>
      <c r="AD15" s="473"/>
      <c r="AE15" s="900"/>
      <c r="AF15" s="646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919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/>
      <c r="T16" s="471"/>
      <c r="U16" s="471"/>
      <c r="V16" s="471"/>
      <c r="W16" s="471"/>
      <c r="X16" s="618"/>
      <c r="Y16" s="604"/>
      <c r="Z16" s="903"/>
      <c r="AA16" s="896"/>
      <c r="AB16" s="896"/>
      <c r="AC16" s="896"/>
      <c r="AD16" s="473"/>
      <c r="AE16" s="900"/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919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/>
      <c r="T17" s="471"/>
      <c r="U17" s="471"/>
      <c r="V17" s="471"/>
      <c r="W17" s="471"/>
      <c r="X17" s="618"/>
      <c r="Y17" s="604"/>
      <c r="Z17" s="903"/>
      <c r="AA17" s="896"/>
      <c r="AB17" s="896"/>
      <c r="AC17" s="896"/>
      <c r="AD17" s="828"/>
      <c r="AE17" s="900"/>
      <c r="AF17" s="646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8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/>
      <c r="T18" s="607"/>
      <c r="U18" s="623"/>
      <c r="V18" s="607"/>
      <c r="W18" s="623"/>
      <c r="X18" s="618"/>
      <c r="Y18" s="604"/>
      <c r="Z18" s="903"/>
      <c r="AA18" s="896"/>
      <c r="AB18" s="896"/>
      <c r="AC18" s="896"/>
      <c r="AD18" s="473"/>
      <c r="AE18" s="900"/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922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/>
      <c r="T19" s="650"/>
      <c r="U19" s="650"/>
      <c r="V19" s="650"/>
      <c r="W19" s="651"/>
      <c r="X19" s="630"/>
      <c r="Y19" s="610"/>
      <c r="Z19" s="904"/>
      <c r="AA19" s="905"/>
      <c r="AB19" s="905"/>
      <c r="AC19" s="905"/>
      <c r="AD19" s="587"/>
      <c r="AE19" s="901"/>
      <c r="AF19" s="646"/>
      <c r="AJ19" s="77"/>
    </row>
    <row r="20" spans="1:36" ht="24.75" customHeight="1">
      <c r="A20" s="967" t="s">
        <v>23</v>
      </c>
      <c r="B20" s="968"/>
      <c r="C20" s="815">
        <f aca="true" t="shared" si="2" ref="C20:P20">+SUM(C8:C19)</f>
        <v>976.8000000000001</v>
      </c>
      <c r="D20" s="816">
        <f t="shared" si="2"/>
        <v>369.9</v>
      </c>
      <c r="E20" s="816">
        <f t="shared" si="2"/>
        <v>358.7</v>
      </c>
      <c r="F20" s="816">
        <f t="shared" si="2"/>
        <v>248.19999999999996</v>
      </c>
      <c r="G20" s="817">
        <f t="shared" si="2"/>
        <v>781.726</v>
      </c>
      <c r="H20" s="818">
        <f t="shared" si="2"/>
        <v>211.724</v>
      </c>
      <c r="I20" s="818">
        <f t="shared" si="2"/>
        <v>382.63699999999994</v>
      </c>
      <c r="J20" s="818">
        <f t="shared" si="2"/>
        <v>184.23499999999996</v>
      </c>
      <c r="K20" s="818">
        <f>+SUM(K8:K19)</f>
        <v>3.13</v>
      </c>
      <c r="L20" s="819">
        <f t="shared" si="2"/>
        <v>117411.11799999999</v>
      </c>
      <c r="M20" s="817">
        <f t="shared" si="2"/>
        <v>799.4200000000001</v>
      </c>
      <c r="N20" s="818">
        <f t="shared" si="2"/>
        <v>200.55900000000003</v>
      </c>
      <c r="O20" s="818">
        <f t="shared" si="2"/>
        <v>420.411</v>
      </c>
      <c r="P20" s="818">
        <f t="shared" si="2"/>
        <v>173.81999999999996</v>
      </c>
      <c r="Q20" s="818">
        <f>+SUM(Q8:Q19)</f>
        <v>4.63</v>
      </c>
      <c r="R20" s="819">
        <f>+SUM(R8:R19)</f>
        <v>114231</v>
      </c>
      <c r="S20" s="820"/>
      <c r="T20" s="821"/>
      <c r="U20" s="820"/>
      <c r="V20" s="820"/>
      <c r="W20" s="820"/>
      <c r="X20" s="822"/>
      <c r="Y20" s="823"/>
      <c r="Z20" s="897"/>
      <c r="AA20" s="897"/>
      <c r="AB20" s="897"/>
      <c r="AC20" s="897"/>
      <c r="AD20" s="824"/>
      <c r="AE20" s="825"/>
      <c r="AF20" s="890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 km, trong đó có 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/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861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R26" s="68">
        <f>20.6+42.2+38.1</f>
        <v>100.9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3" ref="S29:X29">+S20</f>
        <v>0</v>
      </c>
      <c r="T29" s="854">
        <f t="shared" si="3"/>
        <v>0</v>
      </c>
      <c r="U29" s="854">
        <f t="shared" si="3"/>
        <v>0</v>
      </c>
      <c r="V29" s="854">
        <f t="shared" si="3"/>
        <v>0</v>
      </c>
      <c r="W29" s="854">
        <f t="shared" si="3"/>
        <v>0</v>
      </c>
      <c r="X29" s="902">
        <f t="shared" si="3"/>
        <v>0</v>
      </c>
    </row>
    <row r="30" spans="18:24" ht="15">
      <c r="R30" s="862" t="s">
        <v>362</v>
      </c>
      <c r="S30" s="854">
        <f>+'12.12.2013'!S20</f>
        <v>704.6669999999999</v>
      </c>
      <c r="T30" s="854">
        <f>+'12.12.2013'!T20</f>
        <v>160.957</v>
      </c>
      <c r="U30" s="854">
        <f>+'12.12.2013'!U20</f>
        <v>399.23</v>
      </c>
      <c r="V30" s="854">
        <f>+'12.12.2013'!V20</f>
        <v>140.76999999999998</v>
      </c>
      <c r="W30" s="854">
        <f>+'12.12.2013'!W20</f>
        <v>3.71</v>
      </c>
      <c r="X30" s="854">
        <f>+'12.12.2013'!X20</f>
        <v>99311.55</v>
      </c>
    </row>
    <row r="31" spans="18:24" ht="15">
      <c r="R31" s="862" t="s">
        <v>363</v>
      </c>
      <c r="S31" s="854">
        <f aca="true" t="shared" si="4" ref="S31:X31">+S20-S30</f>
        <v>-704.6669999999999</v>
      </c>
      <c r="T31" s="854">
        <f t="shared" si="4"/>
        <v>-160.957</v>
      </c>
      <c r="U31" s="854">
        <f t="shared" si="4"/>
        <v>-399.23</v>
      </c>
      <c r="V31" s="854">
        <f t="shared" si="4"/>
        <v>-140.76999999999998</v>
      </c>
      <c r="W31" s="854">
        <f t="shared" si="4"/>
        <v>-3.71</v>
      </c>
      <c r="X31" s="902">
        <f t="shared" si="4"/>
        <v>-99311.55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f>+N42+O42+P42</f>
        <v>57.86</v>
      </c>
      <c r="N42" s="68">
        <v>23.35</v>
      </c>
      <c r="O42" s="68">
        <v>12.54</v>
      </c>
      <c r="P42" s="68">
        <v>21.97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30.04</v>
      </c>
      <c r="N46" s="863">
        <f>+N42-N43-N44-N45</f>
        <v>6.630000000000003</v>
      </c>
      <c r="O46" s="863">
        <f>+O42-O43-O44-O45</f>
        <v>10.94</v>
      </c>
      <c r="P46" s="863">
        <f>+P42-P43-P44-P45</f>
        <v>12.469999999999999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A5:AC5"/>
    <mergeCell ref="A20:B20"/>
    <mergeCell ref="N5:Q5"/>
    <mergeCell ref="R5:R6"/>
    <mergeCell ref="S5:S6"/>
    <mergeCell ref="T5:W5"/>
    <mergeCell ref="X5:X6"/>
    <mergeCell ref="Z5:Z6"/>
    <mergeCell ref="Z4:AC4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" bottom="0.36" header="0.19" footer="0.31496062992125984"/>
  <pageSetup fitToHeight="0" fitToWidth="1" horizontalDpi="600" verticalDpi="600" orientation="landscape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80" t="s">
        <v>86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146"/>
      <c r="X1" s="146"/>
    </row>
    <row r="2" spans="1:24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147"/>
      <c r="X3" s="147"/>
    </row>
    <row r="4" spans="1:23" s="151" customFormat="1" ht="73.5" customHeight="1">
      <c r="A4" s="983" t="s">
        <v>0</v>
      </c>
      <c r="B4" s="984" t="s">
        <v>181</v>
      </c>
      <c r="C4" s="995" t="s">
        <v>26</v>
      </c>
      <c r="D4" s="996"/>
      <c r="E4" s="996"/>
      <c r="F4" s="996"/>
      <c r="G4" s="996"/>
      <c r="H4" s="997"/>
      <c r="I4" s="995" t="s">
        <v>44</v>
      </c>
      <c r="J4" s="996"/>
      <c r="K4" s="996"/>
      <c r="L4" s="996"/>
      <c r="M4" s="996"/>
      <c r="N4" s="997"/>
      <c r="O4" s="998" t="s">
        <v>45</v>
      </c>
      <c r="P4" s="999"/>
      <c r="Q4" s="999"/>
      <c r="R4" s="999"/>
      <c r="S4" s="999"/>
      <c r="T4" s="1000"/>
      <c r="U4" s="986" t="s">
        <v>43</v>
      </c>
      <c r="V4" s="983" t="s">
        <v>14</v>
      </c>
      <c r="W4" s="150"/>
    </row>
    <row r="5" spans="1:24" s="151" customFormat="1" ht="39" customHeight="1">
      <c r="A5" s="983"/>
      <c r="B5" s="984"/>
      <c r="C5" s="984" t="s">
        <v>38</v>
      </c>
      <c r="D5" s="989" t="s">
        <v>21</v>
      </c>
      <c r="E5" s="989"/>
      <c r="F5" s="989"/>
      <c r="G5" s="989"/>
      <c r="H5" s="993" t="s">
        <v>202</v>
      </c>
      <c r="I5" s="984" t="s">
        <v>38</v>
      </c>
      <c r="J5" s="990" t="s">
        <v>21</v>
      </c>
      <c r="K5" s="991"/>
      <c r="L5" s="991"/>
      <c r="M5" s="992"/>
      <c r="N5" s="993" t="s">
        <v>37</v>
      </c>
      <c r="O5" s="984" t="s">
        <v>38</v>
      </c>
      <c r="P5" s="990" t="s">
        <v>21</v>
      </c>
      <c r="Q5" s="991"/>
      <c r="R5" s="991"/>
      <c r="S5" s="992"/>
      <c r="T5" s="993" t="s">
        <v>37</v>
      </c>
      <c r="U5" s="986"/>
      <c r="V5" s="983"/>
      <c r="W5" s="152"/>
      <c r="X5" s="153"/>
    </row>
    <row r="6" spans="1:24" s="151" customFormat="1" ht="73.5" customHeight="1">
      <c r="A6" s="983"/>
      <c r="B6" s="984"/>
      <c r="C6" s="984"/>
      <c r="D6" s="149" t="s">
        <v>39</v>
      </c>
      <c r="E6" s="149" t="s">
        <v>40</v>
      </c>
      <c r="F6" s="149" t="s">
        <v>41</v>
      </c>
      <c r="G6" s="149" t="s">
        <v>42</v>
      </c>
      <c r="H6" s="994"/>
      <c r="I6" s="984"/>
      <c r="J6" s="149" t="s">
        <v>39</v>
      </c>
      <c r="K6" s="149" t="s">
        <v>40</v>
      </c>
      <c r="L6" s="149" t="s">
        <v>41</v>
      </c>
      <c r="M6" s="149" t="s">
        <v>42</v>
      </c>
      <c r="N6" s="994"/>
      <c r="O6" s="984"/>
      <c r="P6" s="149" t="s">
        <v>39</v>
      </c>
      <c r="Q6" s="149" t="s">
        <v>40</v>
      </c>
      <c r="R6" s="149" t="s">
        <v>41</v>
      </c>
      <c r="S6" s="149" t="s">
        <v>42</v>
      </c>
      <c r="T6" s="994"/>
      <c r="U6" s="986"/>
      <c r="V6" s="983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1046" t="s">
        <v>23</v>
      </c>
      <c r="B35" s="1046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80" t="s">
        <v>89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146"/>
      <c r="X1" s="146"/>
    </row>
    <row r="2" spans="1:24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147"/>
      <c r="X3" s="147"/>
    </row>
    <row r="4" spans="1:23" s="151" customFormat="1" ht="99.75" customHeight="1">
      <c r="A4" s="1056" t="s">
        <v>0</v>
      </c>
      <c r="B4" s="985" t="s">
        <v>160</v>
      </c>
      <c r="C4" s="1049" t="s">
        <v>26</v>
      </c>
      <c r="D4" s="1050"/>
      <c r="E4" s="1050"/>
      <c r="F4" s="1050"/>
      <c r="G4" s="1050"/>
      <c r="H4" s="1051"/>
      <c r="I4" s="1049" t="s">
        <v>44</v>
      </c>
      <c r="J4" s="1050"/>
      <c r="K4" s="1050"/>
      <c r="L4" s="1050"/>
      <c r="M4" s="1050"/>
      <c r="N4" s="1051"/>
      <c r="O4" s="1052" t="s">
        <v>45</v>
      </c>
      <c r="P4" s="1053"/>
      <c r="Q4" s="1053"/>
      <c r="R4" s="1053"/>
      <c r="S4" s="1053"/>
      <c r="T4" s="1054"/>
      <c r="U4" s="1055" t="s">
        <v>43</v>
      </c>
      <c r="V4" s="1056" t="s">
        <v>14</v>
      </c>
      <c r="W4" s="150"/>
    </row>
    <row r="5" spans="1:24" s="151" customFormat="1" ht="39" customHeight="1">
      <c r="A5" s="1056"/>
      <c r="B5" s="985"/>
      <c r="C5" s="984" t="s">
        <v>38</v>
      </c>
      <c r="D5" s="989" t="s">
        <v>21</v>
      </c>
      <c r="E5" s="989"/>
      <c r="F5" s="989"/>
      <c r="G5" s="989"/>
      <c r="H5" s="993" t="s">
        <v>201</v>
      </c>
      <c r="I5" s="984" t="s">
        <v>38</v>
      </c>
      <c r="J5" s="990" t="s">
        <v>21</v>
      </c>
      <c r="K5" s="991"/>
      <c r="L5" s="991"/>
      <c r="M5" s="992"/>
      <c r="N5" s="993" t="s">
        <v>37</v>
      </c>
      <c r="O5" s="984" t="s">
        <v>38</v>
      </c>
      <c r="P5" s="990" t="s">
        <v>21</v>
      </c>
      <c r="Q5" s="991"/>
      <c r="R5" s="991"/>
      <c r="S5" s="992"/>
      <c r="T5" s="993" t="s">
        <v>37</v>
      </c>
      <c r="U5" s="1055"/>
      <c r="V5" s="1056"/>
      <c r="W5" s="152"/>
      <c r="X5" s="153"/>
    </row>
    <row r="6" spans="1:24" s="151" customFormat="1" ht="73.5" customHeight="1">
      <c r="A6" s="1056"/>
      <c r="B6" s="985"/>
      <c r="C6" s="984"/>
      <c r="D6" s="149" t="s">
        <v>39</v>
      </c>
      <c r="E6" s="149" t="s">
        <v>40</v>
      </c>
      <c r="F6" s="149" t="s">
        <v>41</v>
      </c>
      <c r="G6" s="149" t="s">
        <v>42</v>
      </c>
      <c r="H6" s="994"/>
      <c r="I6" s="984"/>
      <c r="J6" s="149" t="s">
        <v>39</v>
      </c>
      <c r="K6" s="149" t="s">
        <v>40</v>
      </c>
      <c r="L6" s="149" t="s">
        <v>41</v>
      </c>
      <c r="M6" s="149" t="s">
        <v>42</v>
      </c>
      <c r="N6" s="994"/>
      <c r="O6" s="984"/>
      <c r="P6" s="149" t="s">
        <v>39</v>
      </c>
      <c r="Q6" s="149" t="s">
        <v>40</v>
      </c>
      <c r="R6" s="149" t="s">
        <v>41</v>
      </c>
      <c r="S6" s="149" t="s">
        <v>42</v>
      </c>
      <c r="T6" s="994"/>
      <c r="U6" s="1055"/>
      <c r="V6" s="1056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1057" t="s">
        <v>23</v>
      </c>
      <c r="B29" s="1058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299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1066" t="s">
        <v>0</v>
      </c>
      <c r="B4" s="986" t="s">
        <v>160</v>
      </c>
      <c r="C4" s="1055" t="s">
        <v>25</v>
      </c>
      <c r="D4" s="1055"/>
      <c r="E4" s="1055"/>
      <c r="F4" s="1055"/>
      <c r="G4" s="1067" t="s">
        <v>26</v>
      </c>
      <c r="H4" s="1068"/>
      <c r="I4" s="1068"/>
      <c r="J4" s="1068"/>
      <c r="K4" s="1068"/>
      <c r="L4" s="1069"/>
      <c r="M4" s="1067" t="s">
        <v>44</v>
      </c>
      <c r="N4" s="1068"/>
      <c r="O4" s="1068"/>
      <c r="P4" s="1068"/>
      <c r="Q4" s="1068"/>
      <c r="R4" s="1069"/>
      <c r="S4" s="1070" t="s">
        <v>45</v>
      </c>
      <c r="T4" s="1071"/>
      <c r="U4" s="1071"/>
      <c r="V4" s="1071"/>
      <c r="W4" s="1071"/>
      <c r="X4" s="1072"/>
      <c r="Y4" s="986" t="s">
        <v>43</v>
      </c>
      <c r="Z4" s="986" t="s">
        <v>14</v>
      </c>
    </row>
    <row r="5" spans="1:26" s="151" customFormat="1" ht="15.75" customHeight="1">
      <c r="A5" s="1066"/>
      <c r="B5" s="986"/>
      <c r="C5" s="1055" t="s">
        <v>20</v>
      </c>
      <c r="D5" s="1065" t="s">
        <v>21</v>
      </c>
      <c r="E5" s="1065"/>
      <c r="F5" s="1065"/>
      <c r="G5" s="986" t="s">
        <v>38</v>
      </c>
      <c r="H5" s="1073" t="s">
        <v>21</v>
      </c>
      <c r="I5" s="1073"/>
      <c r="J5" s="1073"/>
      <c r="K5" s="1073"/>
      <c r="L5" s="1063" t="s">
        <v>202</v>
      </c>
      <c r="M5" s="986" t="s">
        <v>38</v>
      </c>
      <c r="N5" s="1060" t="s">
        <v>21</v>
      </c>
      <c r="O5" s="1061"/>
      <c r="P5" s="1061"/>
      <c r="Q5" s="1062"/>
      <c r="R5" s="1063" t="s">
        <v>37</v>
      </c>
      <c r="S5" s="986" t="s">
        <v>38</v>
      </c>
      <c r="T5" s="1060" t="s">
        <v>21</v>
      </c>
      <c r="U5" s="1061"/>
      <c r="V5" s="1061"/>
      <c r="W5" s="1062"/>
      <c r="X5" s="1063" t="s">
        <v>37</v>
      </c>
      <c r="Y5" s="986"/>
      <c r="Z5" s="986"/>
    </row>
    <row r="6" spans="1:26" s="151" customFormat="1" ht="95.25" customHeight="1">
      <c r="A6" s="1066"/>
      <c r="B6" s="986"/>
      <c r="C6" s="1055"/>
      <c r="D6" s="371" t="s">
        <v>17</v>
      </c>
      <c r="E6" s="371" t="s">
        <v>18</v>
      </c>
      <c r="F6" s="371" t="s">
        <v>19</v>
      </c>
      <c r="G6" s="986"/>
      <c r="H6" s="370" t="s">
        <v>39</v>
      </c>
      <c r="I6" s="370" t="s">
        <v>40</v>
      </c>
      <c r="J6" s="370" t="s">
        <v>41</v>
      </c>
      <c r="K6" s="370" t="s">
        <v>42</v>
      </c>
      <c r="L6" s="1064"/>
      <c r="M6" s="986"/>
      <c r="N6" s="370" t="s">
        <v>39</v>
      </c>
      <c r="O6" s="370" t="s">
        <v>40</v>
      </c>
      <c r="P6" s="370" t="s">
        <v>41</v>
      </c>
      <c r="Q6" s="370" t="s">
        <v>42</v>
      </c>
      <c r="R6" s="1064"/>
      <c r="S6" s="986"/>
      <c r="T6" s="370" t="s">
        <v>39</v>
      </c>
      <c r="U6" s="370" t="s">
        <v>40</v>
      </c>
      <c r="V6" s="370" t="s">
        <v>41</v>
      </c>
      <c r="W6" s="370" t="s">
        <v>42</v>
      </c>
      <c r="X6" s="1064"/>
      <c r="Y6" s="986"/>
      <c r="Z6" s="986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59" t="s">
        <v>23</v>
      </c>
      <c r="B30" s="1059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300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1066" t="s">
        <v>0</v>
      </c>
      <c r="B4" s="986" t="s">
        <v>160</v>
      </c>
      <c r="C4" s="1055" t="s">
        <v>25</v>
      </c>
      <c r="D4" s="1055"/>
      <c r="E4" s="1055"/>
      <c r="F4" s="1055"/>
      <c r="G4" s="1067" t="s">
        <v>26</v>
      </c>
      <c r="H4" s="1068"/>
      <c r="I4" s="1068"/>
      <c r="J4" s="1068"/>
      <c r="K4" s="1068"/>
      <c r="L4" s="1069"/>
      <c r="M4" s="1067" t="s">
        <v>44</v>
      </c>
      <c r="N4" s="1068"/>
      <c r="O4" s="1068"/>
      <c r="P4" s="1068"/>
      <c r="Q4" s="1068"/>
      <c r="R4" s="1069"/>
      <c r="S4" s="1070" t="s">
        <v>45</v>
      </c>
      <c r="T4" s="1071"/>
      <c r="U4" s="1071"/>
      <c r="V4" s="1071"/>
      <c r="W4" s="1071"/>
      <c r="X4" s="1072"/>
      <c r="Y4" s="986" t="s">
        <v>43</v>
      </c>
      <c r="Z4" s="986" t="s">
        <v>14</v>
      </c>
    </row>
    <row r="5" spans="1:26" s="151" customFormat="1" ht="15.75" customHeight="1">
      <c r="A5" s="1066"/>
      <c r="B5" s="986"/>
      <c r="C5" s="1055" t="s">
        <v>20</v>
      </c>
      <c r="D5" s="1065" t="s">
        <v>21</v>
      </c>
      <c r="E5" s="1065"/>
      <c r="F5" s="1065"/>
      <c r="G5" s="986" t="s">
        <v>38</v>
      </c>
      <c r="H5" s="1073" t="s">
        <v>21</v>
      </c>
      <c r="I5" s="1073"/>
      <c r="J5" s="1073"/>
      <c r="K5" s="1073"/>
      <c r="L5" s="1063" t="s">
        <v>202</v>
      </c>
      <c r="M5" s="986" t="s">
        <v>38</v>
      </c>
      <c r="N5" s="1060" t="s">
        <v>21</v>
      </c>
      <c r="O5" s="1061"/>
      <c r="P5" s="1061"/>
      <c r="Q5" s="1062"/>
      <c r="R5" s="1063" t="s">
        <v>37</v>
      </c>
      <c r="S5" s="986" t="s">
        <v>38</v>
      </c>
      <c r="T5" s="1060" t="s">
        <v>21</v>
      </c>
      <c r="U5" s="1061"/>
      <c r="V5" s="1061"/>
      <c r="W5" s="1062"/>
      <c r="X5" s="1063" t="s">
        <v>37</v>
      </c>
      <c r="Y5" s="986"/>
      <c r="Z5" s="986"/>
    </row>
    <row r="6" spans="1:26" s="151" customFormat="1" ht="102">
      <c r="A6" s="1066"/>
      <c r="B6" s="986"/>
      <c r="C6" s="1055"/>
      <c r="D6" s="371" t="s">
        <v>17</v>
      </c>
      <c r="E6" s="371" t="s">
        <v>18</v>
      </c>
      <c r="F6" s="371" t="s">
        <v>19</v>
      </c>
      <c r="G6" s="986"/>
      <c r="H6" s="370" t="s">
        <v>39</v>
      </c>
      <c r="I6" s="370" t="s">
        <v>40</v>
      </c>
      <c r="J6" s="370" t="s">
        <v>41</v>
      </c>
      <c r="K6" s="370" t="s">
        <v>42</v>
      </c>
      <c r="L6" s="1064"/>
      <c r="M6" s="986"/>
      <c r="N6" s="370" t="s">
        <v>39</v>
      </c>
      <c r="O6" s="370" t="s">
        <v>40</v>
      </c>
      <c r="P6" s="370" t="s">
        <v>41</v>
      </c>
      <c r="Q6" s="370" t="s">
        <v>42</v>
      </c>
      <c r="R6" s="1064"/>
      <c r="S6" s="986"/>
      <c r="T6" s="370" t="s">
        <v>39</v>
      </c>
      <c r="U6" s="370" t="s">
        <v>40</v>
      </c>
      <c r="V6" s="370" t="s">
        <v>41</v>
      </c>
      <c r="W6" s="370" t="s">
        <v>42</v>
      </c>
      <c r="X6" s="1064"/>
      <c r="Y6" s="986"/>
      <c r="Z6" s="986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59" t="s">
        <v>23</v>
      </c>
      <c r="B32" s="1059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301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1066" t="s">
        <v>0</v>
      </c>
      <c r="B4" s="986" t="s">
        <v>160</v>
      </c>
      <c r="C4" s="1055" t="s">
        <v>25</v>
      </c>
      <c r="D4" s="1055"/>
      <c r="E4" s="1055"/>
      <c r="F4" s="1055"/>
      <c r="G4" s="1067" t="s">
        <v>26</v>
      </c>
      <c r="H4" s="1068"/>
      <c r="I4" s="1068"/>
      <c r="J4" s="1068"/>
      <c r="K4" s="1068"/>
      <c r="L4" s="1069"/>
      <c r="M4" s="1067" t="s">
        <v>44</v>
      </c>
      <c r="N4" s="1068"/>
      <c r="O4" s="1068"/>
      <c r="P4" s="1068"/>
      <c r="Q4" s="1068"/>
      <c r="R4" s="1069"/>
      <c r="S4" s="1070" t="s">
        <v>45</v>
      </c>
      <c r="T4" s="1071"/>
      <c r="U4" s="1071"/>
      <c r="V4" s="1071"/>
      <c r="W4" s="1071"/>
      <c r="X4" s="1072"/>
      <c r="Y4" s="986" t="s">
        <v>43</v>
      </c>
      <c r="Z4" s="986" t="s">
        <v>14</v>
      </c>
    </row>
    <row r="5" spans="1:26" s="151" customFormat="1" ht="15.75" customHeight="1">
      <c r="A5" s="1066"/>
      <c r="B5" s="986"/>
      <c r="C5" s="1055" t="s">
        <v>20</v>
      </c>
      <c r="D5" s="1065" t="s">
        <v>21</v>
      </c>
      <c r="E5" s="1065"/>
      <c r="F5" s="1065"/>
      <c r="G5" s="986" t="s">
        <v>38</v>
      </c>
      <c r="H5" s="1073" t="s">
        <v>21</v>
      </c>
      <c r="I5" s="1073"/>
      <c r="J5" s="1073"/>
      <c r="K5" s="1073"/>
      <c r="L5" s="1063" t="s">
        <v>202</v>
      </c>
      <c r="M5" s="986" t="s">
        <v>38</v>
      </c>
      <c r="N5" s="1060" t="s">
        <v>21</v>
      </c>
      <c r="O5" s="1061"/>
      <c r="P5" s="1061"/>
      <c r="Q5" s="1062"/>
      <c r="R5" s="1063" t="s">
        <v>37</v>
      </c>
      <c r="S5" s="986" t="s">
        <v>38</v>
      </c>
      <c r="T5" s="1060" t="s">
        <v>21</v>
      </c>
      <c r="U5" s="1061"/>
      <c r="V5" s="1061"/>
      <c r="W5" s="1062"/>
      <c r="X5" s="1063" t="s">
        <v>37</v>
      </c>
      <c r="Y5" s="986"/>
      <c r="Z5" s="986"/>
    </row>
    <row r="6" spans="1:26" s="151" customFormat="1" ht="95.25" customHeight="1">
      <c r="A6" s="1066"/>
      <c r="B6" s="986"/>
      <c r="C6" s="1055"/>
      <c r="D6" s="371" t="s">
        <v>17</v>
      </c>
      <c r="E6" s="371" t="s">
        <v>18</v>
      </c>
      <c r="F6" s="371" t="s">
        <v>19</v>
      </c>
      <c r="G6" s="986"/>
      <c r="H6" s="370" t="s">
        <v>39</v>
      </c>
      <c r="I6" s="370" t="s">
        <v>40</v>
      </c>
      <c r="J6" s="370" t="s">
        <v>41</v>
      </c>
      <c r="K6" s="370" t="s">
        <v>42</v>
      </c>
      <c r="L6" s="1064"/>
      <c r="M6" s="986"/>
      <c r="N6" s="370" t="s">
        <v>39</v>
      </c>
      <c r="O6" s="370" t="s">
        <v>40</v>
      </c>
      <c r="P6" s="370" t="s">
        <v>41</v>
      </c>
      <c r="Q6" s="370" t="s">
        <v>42</v>
      </c>
      <c r="R6" s="1064"/>
      <c r="S6" s="986"/>
      <c r="T6" s="370" t="s">
        <v>39</v>
      </c>
      <c r="U6" s="370" t="s">
        <v>40</v>
      </c>
      <c r="V6" s="370" t="s">
        <v>41</v>
      </c>
      <c r="W6" s="370" t="s">
        <v>42</v>
      </c>
      <c r="X6" s="1064"/>
      <c r="Y6" s="986"/>
      <c r="Z6" s="986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59" t="s">
        <v>23</v>
      </c>
      <c r="B38" s="1059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302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983" t="s">
        <v>0</v>
      </c>
      <c r="B4" s="984" t="s">
        <v>160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 t="s">
        <v>44</v>
      </c>
      <c r="N4" s="996"/>
      <c r="O4" s="996"/>
      <c r="P4" s="996"/>
      <c r="Q4" s="996"/>
      <c r="R4" s="997"/>
      <c r="S4" s="998" t="s">
        <v>45</v>
      </c>
      <c r="T4" s="999"/>
      <c r="U4" s="999"/>
      <c r="V4" s="999"/>
      <c r="W4" s="999"/>
      <c r="X4" s="1000"/>
      <c r="Y4" s="986" t="s">
        <v>43</v>
      </c>
      <c r="Z4" s="986" t="s">
        <v>14</v>
      </c>
    </row>
    <row r="5" spans="1:26" s="151" customFormat="1" ht="15.7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6"/>
    </row>
    <row r="6" spans="1:26" s="151" customFormat="1" ht="102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6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74" t="s">
        <v>23</v>
      </c>
      <c r="B21" s="1074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80" t="s">
        <v>88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146"/>
      <c r="X1" s="146"/>
    </row>
    <row r="2" spans="1:24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147"/>
      <c r="X2" s="147"/>
    </row>
    <row r="3" spans="1:24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147"/>
      <c r="X3" s="147"/>
    </row>
    <row r="4" spans="1:23" s="151" customFormat="1" ht="30" customHeight="1">
      <c r="A4" s="983" t="s">
        <v>0</v>
      </c>
      <c r="B4" s="984" t="s">
        <v>51</v>
      </c>
      <c r="C4" s="995" t="s">
        <v>26</v>
      </c>
      <c r="D4" s="996"/>
      <c r="E4" s="996"/>
      <c r="F4" s="996"/>
      <c r="G4" s="996"/>
      <c r="H4" s="997"/>
      <c r="I4" s="995" t="s">
        <v>44</v>
      </c>
      <c r="J4" s="996"/>
      <c r="K4" s="996"/>
      <c r="L4" s="996"/>
      <c r="M4" s="996"/>
      <c r="N4" s="997"/>
      <c r="O4" s="998" t="s">
        <v>45</v>
      </c>
      <c r="P4" s="999"/>
      <c r="Q4" s="999"/>
      <c r="R4" s="999"/>
      <c r="S4" s="999"/>
      <c r="T4" s="1000"/>
      <c r="U4" s="986" t="s">
        <v>43</v>
      </c>
      <c r="V4" s="983" t="s">
        <v>14</v>
      </c>
      <c r="W4" s="150"/>
    </row>
    <row r="5" spans="1:24" s="151" customFormat="1" ht="18" customHeight="1">
      <c r="A5" s="983"/>
      <c r="B5" s="984"/>
      <c r="C5" s="984" t="s">
        <v>38</v>
      </c>
      <c r="D5" s="989" t="s">
        <v>21</v>
      </c>
      <c r="E5" s="989"/>
      <c r="F5" s="989"/>
      <c r="G5" s="989"/>
      <c r="H5" s="993" t="s">
        <v>201</v>
      </c>
      <c r="I5" s="984" t="s">
        <v>38</v>
      </c>
      <c r="J5" s="990" t="s">
        <v>21</v>
      </c>
      <c r="K5" s="991"/>
      <c r="L5" s="991"/>
      <c r="M5" s="992"/>
      <c r="N5" s="993" t="s">
        <v>37</v>
      </c>
      <c r="O5" s="984" t="s">
        <v>38</v>
      </c>
      <c r="P5" s="990" t="s">
        <v>21</v>
      </c>
      <c r="Q5" s="991"/>
      <c r="R5" s="991"/>
      <c r="S5" s="992"/>
      <c r="T5" s="993" t="s">
        <v>37</v>
      </c>
      <c r="U5" s="986"/>
      <c r="V5" s="983"/>
      <c r="W5" s="152"/>
      <c r="X5" s="153"/>
    </row>
    <row r="6" spans="1:24" s="151" customFormat="1" ht="102">
      <c r="A6" s="983"/>
      <c r="B6" s="984"/>
      <c r="C6" s="984"/>
      <c r="D6" s="149" t="s">
        <v>39</v>
      </c>
      <c r="E6" s="149" t="s">
        <v>40</v>
      </c>
      <c r="F6" s="149" t="s">
        <v>41</v>
      </c>
      <c r="G6" s="149" t="s">
        <v>42</v>
      </c>
      <c r="H6" s="994"/>
      <c r="I6" s="984"/>
      <c r="J6" s="149" t="s">
        <v>39</v>
      </c>
      <c r="K6" s="149" t="s">
        <v>40</v>
      </c>
      <c r="L6" s="149" t="s">
        <v>41</v>
      </c>
      <c r="M6" s="149" t="s">
        <v>42</v>
      </c>
      <c r="N6" s="994"/>
      <c r="O6" s="984"/>
      <c r="P6" s="149" t="s">
        <v>39</v>
      </c>
      <c r="Q6" s="149" t="s">
        <v>40</v>
      </c>
      <c r="R6" s="149" t="s">
        <v>41</v>
      </c>
      <c r="S6" s="149" t="s">
        <v>42</v>
      </c>
      <c r="T6" s="994"/>
      <c r="U6" s="986"/>
      <c r="V6" s="983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1003" t="s">
        <v>23</v>
      </c>
      <c r="B40" s="1004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Z10" sqref="Z10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hidden="1" customWidth="1"/>
    <col min="14" max="14" width="5.00390625" style="26" hidden="1" customWidth="1"/>
    <col min="15" max="15" width="5.375" style="26" hidden="1" customWidth="1"/>
    <col min="16" max="16" width="5.50390625" style="26" hidden="1" customWidth="1"/>
    <col min="17" max="17" width="5.75390625" style="26" hidden="1" customWidth="1"/>
    <col min="18" max="18" width="6.50390625" style="26" hidden="1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31.375" style="26" customWidth="1"/>
    <col min="27" max="16384" width="9.00390625" style="26" customWidth="1"/>
  </cols>
  <sheetData>
    <row r="1" spans="1:26" ht="30" customHeight="1">
      <c r="A1" s="980" t="s">
        <v>303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409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983" t="s">
        <v>0</v>
      </c>
      <c r="B4" s="984" t="s">
        <v>160</v>
      </c>
      <c r="C4" s="985" t="s">
        <v>25</v>
      </c>
      <c r="D4" s="985"/>
      <c r="E4" s="985"/>
      <c r="F4" s="985"/>
      <c r="G4" s="953" t="s">
        <v>399</v>
      </c>
      <c r="H4" s="954"/>
      <c r="I4" s="954"/>
      <c r="J4" s="954"/>
      <c r="K4" s="954"/>
      <c r="L4" s="955"/>
      <c r="M4" s="995" t="s">
        <v>44</v>
      </c>
      <c r="N4" s="996"/>
      <c r="O4" s="996"/>
      <c r="P4" s="996"/>
      <c r="Q4" s="996"/>
      <c r="R4" s="997"/>
      <c r="S4" s="998" t="s">
        <v>45</v>
      </c>
      <c r="T4" s="999"/>
      <c r="U4" s="999"/>
      <c r="V4" s="999"/>
      <c r="W4" s="999"/>
      <c r="X4" s="1000"/>
      <c r="Y4" s="986" t="s">
        <v>43</v>
      </c>
      <c r="Z4" s="986" t="s">
        <v>14</v>
      </c>
    </row>
    <row r="5" spans="1:26" s="151" customFormat="1" ht="15.7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6"/>
    </row>
    <row r="6" spans="1:26" s="151" customFormat="1" ht="102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6"/>
    </row>
    <row r="7" spans="1:26" s="68" customFormat="1" ht="30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>
        <v>438</v>
      </c>
      <c r="M7" s="338">
        <f>SUM(N7:Q7)</f>
        <v>0</v>
      </c>
      <c r="N7" s="321"/>
      <c r="O7" s="321"/>
      <c r="P7" s="321"/>
      <c r="Q7" s="322"/>
      <c r="R7" s="321"/>
      <c r="S7" s="338">
        <f>SUM(T7:W7)</f>
        <v>1.52</v>
      </c>
      <c r="T7" s="357">
        <v>0.76</v>
      </c>
      <c r="U7" s="357">
        <v>0</v>
      </c>
      <c r="V7" s="358">
        <v>0.76</v>
      </c>
      <c r="W7" s="357"/>
      <c r="X7" s="357">
        <v>66</v>
      </c>
      <c r="Y7" s="369">
        <f>+S7/G7</f>
        <v>0.5846153846153846</v>
      </c>
      <c r="Z7" s="340" t="s">
        <v>410</v>
      </c>
    </row>
    <row r="8" spans="1:26" ht="21.75" customHeight="1">
      <c r="A8" s="1056" t="s">
        <v>23</v>
      </c>
      <c r="B8" s="1056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438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1.52</v>
      </c>
      <c r="T8" s="362">
        <f>+SUM(T7:T7)</f>
        <v>0.76</v>
      </c>
      <c r="U8" s="362">
        <f>+SUM(U7:U7)</f>
        <v>0</v>
      </c>
      <c r="V8" s="362">
        <f>+SUM(V7:V7)</f>
        <v>0.76</v>
      </c>
      <c r="W8" s="362"/>
      <c r="X8" s="881">
        <f>+SUM(X7:X7)</f>
        <v>66</v>
      </c>
      <c r="Y8" s="361">
        <f>+S8/G8</f>
        <v>0.5846153846153846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54" right="0.2" top="0.66" bottom="0.31" header="0.34" footer="0.2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80" t="s">
        <v>304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</row>
    <row r="2" spans="1:26" s="148" customFormat="1" ht="22.5" customHeight="1">
      <c r="A2" s="981" t="s">
        <v>305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</row>
    <row r="3" spans="1:26" s="148" customFormat="1" ht="22.5" customHeight="1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</row>
    <row r="4" spans="1:26" s="151" customFormat="1" ht="33" customHeight="1">
      <c r="A4" s="983" t="s">
        <v>0</v>
      </c>
      <c r="B4" s="984" t="s">
        <v>160</v>
      </c>
      <c r="C4" s="985" t="s">
        <v>25</v>
      </c>
      <c r="D4" s="985"/>
      <c r="E4" s="985"/>
      <c r="F4" s="985"/>
      <c r="G4" s="995" t="s">
        <v>26</v>
      </c>
      <c r="H4" s="996"/>
      <c r="I4" s="996"/>
      <c r="J4" s="996"/>
      <c r="K4" s="996"/>
      <c r="L4" s="997"/>
      <c r="M4" s="995" t="s">
        <v>44</v>
      </c>
      <c r="N4" s="996"/>
      <c r="O4" s="996"/>
      <c r="P4" s="996"/>
      <c r="Q4" s="996"/>
      <c r="R4" s="997"/>
      <c r="S4" s="998" t="s">
        <v>45</v>
      </c>
      <c r="T4" s="999"/>
      <c r="U4" s="999"/>
      <c r="V4" s="999"/>
      <c r="W4" s="999"/>
      <c r="X4" s="1000"/>
      <c r="Y4" s="986" t="s">
        <v>43</v>
      </c>
      <c r="Z4" s="986" t="s">
        <v>14</v>
      </c>
    </row>
    <row r="5" spans="1:26" s="151" customFormat="1" ht="15.75" customHeight="1">
      <c r="A5" s="983"/>
      <c r="B5" s="984"/>
      <c r="C5" s="985" t="s">
        <v>20</v>
      </c>
      <c r="D5" s="988" t="s">
        <v>21</v>
      </c>
      <c r="E5" s="988"/>
      <c r="F5" s="988"/>
      <c r="G5" s="984" t="s">
        <v>38</v>
      </c>
      <c r="H5" s="989" t="s">
        <v>21</v>
      </c>
      <c r="I5" s="989"/>
      <c r="J5" s="989"/>
      <c r="K5" s="989"/>
      <c r="L5" s="993" t="s">
        <v>202</v>
      </c>
      <c r="M5" s="984" t="s">
        <v>38</v>
      </c>
      <c r="N5" s="990" t="s">
        <v>21</v>
      </c>
      <c r="O5" s="991"/>
      <c r="P5" s="991"/>
      <c r="Q5" s="992"/>
      <c r="R5" s="993" t="s">
        <v>37</v>
      </c>
      <c r="S5" s="984" t="s">
        <v>38</v>
      </c>
      <c r="T5" s="990" t="s">
        <v>21</v>
      </c>
      <c r="U5" s="991"/>
      <c r="V5" s="991"/>
      <c r="W5" s="992"/>
      <c r="X5" s="993" t="s">
        <v>37</v>
      </c>
      <c r="Y5" s="986"/>
      <c r="Z5" s="986"/>
    </row>
    <row r="6" spans="1:26" s="151" customFormat="1" ht="102">
      <c r="A6" s="983"/>
      <c r="B6" s="984"/>
      <c r="C6" s="985"/>
      <c r="D6" s="154" t="s">
        <v>17</v>
      </c>
      <c r="E6" s="154" t="s">
        <v>18</v>
      </c>
      <c r="F6" s="154" t="s">
        <v>19</v>
      </c>
      <c r="G6" s="984"/>
      <c r="H6" s="149" t="s">
        <v>39</v>
      </c>
      <c r="I6" s="149" t="s">
        <v>40</v>
      </c>
      <c r="J6" s="149" t="s">
        <v>41</v>
      </c>
      <c r="K6" s="149" t="s">
        <v>42</v>
      </c>
      <c r="L6" s="994"/>
      <c r="M6" s="984"/>
      <c r="N6" s="149" t="s">
        <v>39</v>
      </c>
      <c r="O6" s="149" t="s">
        <v>40</v>
      </c>
      <c r="P6" s="149" t="s">
        <v>41</v>
      </c>
      <c r="Q6" s="149" t="s">
        <v>42</v>
      </c>
      <c r="R6" s="994"/>
      <c r="S6" s="984"/>
      <c r="T6" s="149" t="s">
        <v>39</v>
      </c>
      <c r="U6" s="149" t="s">
        <v>40</v>
      </c>
      <c r="V6" s="149" t="s">
        <v>41</v>
      </c>
      <c r="W6" s="149" t="s">
        <v>42</v>
      </c>
      <c r="X6" s="994"/>
      <c r="Y6" s="986"/>
      <c r="Z6" s="986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75" t="s">
        <v>23</v>
      </c>
      <c r="B13" s="1075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832"/>
      <c r="V1" s="832"/>
      <c r="W1" s="833"/>
      <c r="X1" s="833"/>
    </row>
    <row r="2" spans="1:24" s="569" customFormat="1" ht="22.5" customHeight="1">
      <c r="A2" s="948" t="s">
        <v>377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834"/>
      <c r="V2" s="834"/>
      <c r="W2" s="835"/>
      <c r="X2" s="835"/>
    </row>
    <row r="3" spans="1:24" s="569" customFormat="1" ht="22.5" customHeight="1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836"/>
      <c r="V3" s="836"/>
      <c r="W3" s="835"/>
      <c r="X3" s="835"/>
    </row>
    <row r="4" spans="1:23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6" t="s">
        <v>307</v>
      </c>
      <c r="N4" s="957"/>
      <c r="O4" s="957"/>
      <c r="P4" s="957"/>
      <c r="Q4" s="957"/>
      <c r="R4" s="958"/>
      <c r="S4" s="951" t="s">
        <v>43</v>
      </c>
      <c r="T4" s="950" t="s">
        <v>14</v>
      </c>
      <c r="U4" s="951" t="s">
        <v>329</v>
      </c>
      <c r="V4" s="959" t="s">
        <v>313</v>
      </c>
      <c r="W4" s="837"/>
    </row>
    <row r="5" spans="1:24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9" t="s">
        <v>21</v>
      </c>
      <c r="O5" s="970"/>
      <c r="P5" s="970"/>
      <c r="Q5" s="971"/>
      <c r="R5" s="962" t="s">
        <v>37</v>
      </c>
      <c r="S5" s="951"/>
      <c r="T5" s="950"/>
      <c r="U5" s="951"/>
      <c r="V5" s="959"/>
      <c r="W5" s="839"/>
      <c r="X5" s="840"/>
    </row>
    <row r="6" spans="1:24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950"/>
      <c r="U6" s="951"/>
      <c r="V6" s="959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67" t="s">
        <v>23</v>
      </c>
      <c r="B20" s="968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74" t="s">
        <v>48</v>
      </c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10">
      <selection activeCell="S20" sqref="S20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5.50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435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38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921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61.3</v>
      </c>
      <c r="H8" s="806">
        <v>14.74</v>
      </c>
      <c r="I8" s="806">
        <v>29.8</v>
      </c>
      <c r="J8" s="806">
        <v>16.76</v>
      </c>
      <c r="K8" s="807"/>
      <c r="L8" s="808">
        <v>10030.648</v>
      </c>
      <c r="M8" s="917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809">
        <f>SUM(T8:W8)</f>
        <v>56.007</v>
      </c>
      <c r="T8" s="803">
        <v>10.227</v>
      </c>
      <c r="U8" s="803">
        <v>30.7</v>
      </c>
      <c r="V8" s="803">
        <v>15.08</v>
      </c>
      <c r="W8" s="803"/>
      <c r="X8" s="810">
        <v>10350</v>
      </c>
      <c r="Y8" s="811">
        <f>+S8/M8</f>
        <v>0.926961271102284</v>
      </c>
      <c r="Z8" s="913">
        <f>SUM(AA8:AC8)</f>
        <v>7.790000000000001</v>
      </c>
      <c r="AA8" s="914">
        <v>4.15</v>
      </c>
      <c r="AB8" s="914"/>
      <c r="AC8" s="914">
        <v>3.64</v>
      </c>
      <c r="AD8" s="915"/>
      <c r="AE8" s="916">
        <f>+S8+Z8</f>
        <v>63.797</v>
      </c>
      <c r="AF8" s="646"/>
      <c r="AJ8" s="77"/>
    </row>
    <row r="9" spans="1:36" ht="24.75" customHeight="1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0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8115</v>
      </c>
      <c r="M9" s="918">
        <f aca="true" t="shared" si="1" ref="M9:M19">SUM(N9:Q9)</f>
        <v>63.7</v>
      </c>
      <c r="N9" s="695">
        <v>14.1</v>
      </c>
      <c r="O9" s="695">
        <v>40.7</v>
      </c>
      <c r="P9" s="695">
        <v>7.4</v>
      </c>
      <c r="Q9" s="696">
        <v>1.5</v>
      </c>
      <c r="R9" s="697">
        <v>10285</v>
      </c>
      <c r="S9" s="813">
        <f aca="true" t="shared" si="2" ref="S9:S19">SUM(T9:W9)</f>
        <v>54.13999999999999</v>
      </c>
      <c r="T9" s="694">
        <v>13.34</v>
      </c>
      <c r="U9" s="797">
        <v>33.07</v>
      </c>
      <c r="V9" s="694">
        <v>6.22</v>
      </c>
      <c r="W9" s="694">
        <v>1.51</v>
      </c>
      <c r="X9" s="912">
        <v>8581</v>
      </c>
      <c r="Y9" s="700">
        <f aca="true" t="shared" si="3" ref="Y9:Y19">+S9/M9</f>
        <v>0.8499215070643641</v>
      </c>
      <c r="Z9" s="906">
        <f>SUM(AA9:AC9)</f>
        <v>13.78</v>
      </c>
      <c r="AA9" s="907">
        <v>2.44</v>
      </c>
      <c r="AB9" s="907">
        <v>3.34</v>
      </c>
      <c r="AC9" s="907">
        <v>8</v>
      </c>
      <c r="AD9" s="891"/>
      <c r="AE9" s="908">
        <f aca="true" t="shared" si="4" ref="AE9:AE19">+S9+Z9</f>
        <v>67.91999999999999</v>
      </c>
      <c r="AF9" s="646"/>
      <c r="AJ9" s="77"/>
    </row>
    <row r="10" spans="1:36" ht="24.75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0"/>
        <v>45.010000000000005</v>
      </c>
      <c r="H10" s="695">
        <v>11.7</v>
      </c>
      <c r="I10" s="695">
        <v>21.78</v>
      </c>
      <c r="J10" s="695">
        <v>11.53</v>
      </c>
      <c r="K10" s="696"/>
      <c r="L10" s="697">
        <v>7435.44</v>
      </c>
      <c r="M10" s="918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7435</v>
      </c>
      <c r="S10" s="813">
        <f>SUM(T10:W10)</f>
        <v>43.230000000000004</v>
      </c>
      <c r="T10" s="692">
        <v>11.3</v>
      </c>
      <c r="U10" s="692">
        <v>20.9</v>
      </c>
      <c r="V10" s="692">
        <v>11.03</v>
      </c>
      <c r="W10" s="692"/>
      <c r="X10" s="699">
        <v>7435</v>
      </c>
      <c r="Y10" s="700">
        <f t="shared" si="3"/>
        <v>0.9604532326149744</v>
      </c>
      <c r="Z10" s="906">
        <f aca="true" t="shared" si="5" ref="Z10:Z18">SUM(AA10:AC10)</f>
        <v>24.79</v>
      </c>
      <c r="AA10" s="907"/>
      <c r="AB10" s="907">
        <v>0.8</v>
      </c>
      <c r="AC10" s="907">
        <v>23.99</v>
      </c>
      <c r="AD10" s="778"/>
      <c r="AE10" s="908">
        <f t="shared" si="4"/>
        <v>68.02000000000001</v>
      </c>
      <c r="AF10" s="646"/>
      <c r="AH10" s="77"/>
      <c r="AJ10" s="77"/>
    </row>
    <row r="11" spans="1:36" ht="24.75" customHeight="1">
      <c r="A11" s="691">
        <v>4</v>
      </c>
      <c r="B11" s="692" t="s">
        <v>6</v>
      </c>
      <c r="C11" s="693">
        <f>+D11+E11+F11</f>
        <v>60</v>
      </c>
      <c r="D11" s="694">
        <v>17</v>
      </c>
      <c r="E11" s="694">
        <v>18</v>
      </c>
      <c r="F11" s="694">
        <v>25</v>
      </c>
      <c r="G11" s="695">
        <f t="shared" si="0"/>
        <v>30.720000000000002</v>
      </c>
      <c r="H11" s="695">
        <v>5.26</v>
      </c>
      <c r="I11" s="695">
        <v>11.73</v>
      </c>
      <c r="J11" s="695">
        <v>13.73</v>
      </c>
      <c r="K11" s="696"/>
      <c r="L11" s="697">
        <v>8188</v>
      </c>
      <c r="M11" s="918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13">
        <f>SUM(T11:V11)</f>
        <v>30.04</v>
      </c>
      <c r="T11" s="692">
        <v>6.63</v>
      </c>
      <c r="U11" s="692">
        <v>10.94</v>
      </c>
      <c r="V11" s="692">
        <v>12.47</v>
      </c>
      <c r="W11" s="692"/>
      <c r="X11" s="699">
        <v>3172</v>
      </c>
      <c r="Y11" s="700">
        <f t="shared" si="3"/>
        <v>0.9778645833333333</v>
      </c>
      <c r="Z11" s="906">
        <f t="shared" si="5"/>
        <v>27.82</v>
      </c>
      <c r="AA11" s="907">
        <v>6.42</v>
      </c>
      <c r="AB11" s="907">
        <v>0.9</v>
      </c>
      <c r="AC11" s="907">
        <v>20.5</v>
      </c>
      <c r="AD11" s="891"/>
      <c r="AE11" s="908">
        <f t="shared" si="4"/>
        <v>57.86</v>
      </c>
      <c r="AF11" s="646"/>
      <c r="AG11" s="77"/>
      <c r="AJ11" s="77"/>
    </row>
    <row r="12" spans="1:36" ht="24.75" customHeight="1">
      <c r="A12" s="691">
        <v>5</v>
      </c>
      <c r="B12" s="692" t="s">
        <v>7</v>
      </c>
      <c r="C12" s="693">
        <v>83.4</v>
      </c>
      <c r="D12" s="694">
        <v>28.9</v>
      </c>
      <c r="E12" s="694">
        <v>45.8</v>
      </c>
      <c r="F12" s="694">
        <v>8.7</v>
      </c>
      <c r="G12" s="695">
        <f t="shared" si="0"/>
        <v>84.40899999999999</v>
      </c>
      <c r="H12" s="695">
        <f>0.04+20.07</f>
        <v>20.11</v>
      </c>
      <c r="I12" s="695">
        <v>54.049</v>
      </c>
      <c r="J12" s="695">
        <v>7.12</v>
      </c>
      <c r="K12" s="696">
        <v>3.13</v>
      </c>
      <c r="L12" s="697">
        <v>11271</v>
      </c>
      <c r="M12" s="918">
        <f t="shared" si="1"/>
        <v>80.61</v>
      </c>
      <c r="N12" s="695">
        <v>18.81</v>
      </c>
      <c r="O12" s="695">
        <v>51.81</v>
      </c>
      <c r="P12" s="695">
        <v>6.86</v>
      </c>
      <c r="Q12" s="696">
        <v>3.13</v>
      </c>
      <c r="R12" s="697">
        <v>10767</v>
      </c>
      <c r="S12" s="801">
        <f t="shared" si="2"/>
        <v>79.63000000000001</v>
      </c>
      <c r="T12" s="692">
        <v>19</v>
      </c>
      <c r="U12" s="692">
        <v>51.31</v>
      </c>
      <c r="V12" s="692">
        <v>7.12</v>
      </c>
      <c r="W12" s="692">
        <v>2.2</v>
      </c>
      <c r="X12" s="699">
        <v>10730</v>
      </c>
      <c r="Y12" s="700">
        <f t="shared" si="3"/>
        <v>0.9878426994169459</v>
      </c>
      <c r="Z12" s="906">
        <f t="shared" si="5"/>
        <v>27.71</v>
      </c>
      <c r="AA12" s="907">
        <v>4.31</v>
      </c>
      <c r="AB12" s="907">
        <v>1.73</v>
      </c>
      <c r="AC12" s="907">
        <v>21.67</v>
      </c>
      <c r="AD12" s="891"/>
      <c r="AE12" s="908">
        <f t="shared" si="4"/>
        <v>107.34</v>
      </c>
      <c r="AF12" s="646"/>
      <c r="AJ12" s="77"/>
    </row>
    <row r="13" spans="1:36" ht="24.75" customHeight="1">
      <c r="A13" s="691">
        <v>6</v>
      </c>
      <c r="B13" s="692" t="s">
        <v>8</v>
      </c>
      <c r="C13" s="693">
        <v>110.5</v>
      </c>
      <c r="D13" s="694">
        <v>52.1</v>
      </c>
      <c r="E13" s="694">
        <v>26.1</v>
      </c>
      <c r="F13" s="694">
        <v>32.3</v>
      </c>
      <c r="G13" s="695">
        <f t="shared" si="0"/>
        <v>88.69</v>
      </c>
      <c r="H13" s="695">
        <v>15.02</v>
      </c>
      <c r="I13" s="695">
        <v>43.97</v>
      </c>
      <c r="J13" s="695">
        <v>29.7</v>
      </c>
      <c r="K13" s="877"/>
      <c r="L13" s="697">
        <v>11445</v>
      </c>
      <c r="M13" s="918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801">
        <f t="shared" si="2"/>
        <v>72.88</v>
      </c>
      <c r="T13" s="692">
        <v>9.28</v>
      </c>
      <c r="U13" s="692">
        <v>40.81</v>
      </c>
      <c r="V13" s="692">
        <v>22.79</v>
      </c>
      <c r="W13" s="692"/>
      <c r="X13" s="699">
        <v>10774</v>
      </c>
      <c r="Y13" s="700">
        <f t="shared" si="3"/>
        <v>0.8217386402074641</v>
      </c>
      <c r="Z13" s="906">
        <f t="shared" si="5"/>
        <v>12.2</v>
      </c>
      <c r="AA13" s="907"/>
      <c r="AB13" s="907"/>
      <c r="AC13" s="907">
        <v>12.2</v>
      </c>
      <c r="AD13" s="891"/>
      <c r="AE13" s="908">
        <f t="shared" si="4"/>
        <v>85.08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919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107.7</v>
      </c>
      <c r="T14" s="471">
        <v>22.6</v>
      </c>
      <c r="U14" s="471">
        <v>45.1</v>
      </c>
      <c r="V14" s="471">
        <v>40</v>
      </c>
      <c r="W14" s="471"/>
      <c r="X14" s="618">
        <v>14359.5</v>
      </c>
      <c r="Y14" s="604">
        <f t="shared" si="3"/>
        <v>0.8054142985342507</v>
      </c>
      <c r="Z14" s="903">
        <f t="shared" si="5"/>
        <v>22.96</v>
      </c>
      <c r="AA14" s="896">
        <v>14.46</v>
      </c>
      <c r="AB14" s="896">
        <v>4</v>
      </c>
      <c r="AC14" s="896">
        <v>4.5</v>
      </c>
      <c r="AD14" s="473"/>
      <c r="AE14" s="900">
        <f t="shared" si="4"/>
        <v>130.66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919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111.57999999999998</v>
      </c>
      <c r="T15" s="471">
        <v>21.05</v>
      </c>
      <c r="U15" s="471">
        <v>78.6</v>
      </c>
      <c r="V15" s="471">
        <v>11.93</v>
      </c>
      <c r="W15" s="471"/>
      <c r="X15" s="618">
        <v>14024.5</v>
      </c>
      <c r="Y15" s="604">
        <f t="shared" si="3"/>
        <v>1.004230042300423</v>
      </c>
      <c r="Z15" s="903">
        <f t="shared" si="5"/>
        <v>51.25</v>
      </c>
      <c r="AA15" s="896"/>
      <c r="AB15" s="896">
        <v>11.55</v>
      </c>
      <c r="AC15" s="896">
        <v>39.7</v>
      </c>
      <c r="AD15" s="473"/>
      <c r="AE15" s="900">
        <f t="shared" si="4"/>
        <v>162.82999999999998</v>
      </c>
      <c r="AF15" s="646"/>
      <c r="AJ15" s="77"/>
    </row>
    <row r="16" spans="1:36" ht="24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0"/>
        <v>45.56</v>
      </c>
      <c r="H16" s="695">
        <f>0.69+12.91</f>
        <v>13.6</v>
      </c>
      <c r="I16" s="695">
        <f>6.31+9.51</f>
        <v>15.82</v>
      </c>
      <c r="J16" s="695">
        <v>16.14</v>
      </c>
      <c r="K16" s="696"/>
      <c r="L16" s="697">
        <v>9023.61</v>
      </c>
      <c r="M16" s="918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801">
        <f>SUM(T16:V16)</f>
        <v>55.199999999999996</v>
      </c>
      <c r="T16" s="692">
        <v>7.3</v>
      </c>
      <c r="U16" s="692">
        <v>43.5</v>
      </c>
      <c r="V16" s="692">
        <v>4.4</v>
      </c>
      <c r="W16" s="692"/>
      <c r="X16" s="699">
        <v>8459</v>
      </c>
      <c r="Y16" s="700">
        <f t="shared" si="3"/>
        <v>0.8646616541353382</v>
      </c>
      <c r="Z16" s="906">
        <f t="shared" si="5"/>
        <v>13.1</v>
      </c>
      <c r="AA16" s="907">
        <v>1</v>
      </c>
      <c r="AB16" s="907"/>
      <c r="AC16" s="907">
        <v>12.1</v>
      </c>
      <c r="AD16" s="778"/>
      <c r="AE16" s="908">
        <f t="shared" si="4"/>
        <v>68.3</v>
      </c>
      <c r="AF16" s="646"/>
      <c r="AJ16" s="77"/>
    </row>
    <row r="17" spans="1:36" ht="24.7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102.868</v>
      </c>
      <c r="H17" s="695">
        <v>43.009</v>
      </c>
      <c r="I17" s="695">
        <v>56.729</v>
      </c>
      <c r="J17" s="695">
        <v>3.13</v>
      </c>
      <c r="K17" s="696"/>
      <c r="L17" s="697">
        <v>16012.82</v>
      </c>
      <c r="M17" s="918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801">
        <f t="shared" si="2"/>
        <v>99.00000000000001</v>
      </c>
      <c r="T17" s="692">
        <v>40.17</v>
      </c>
      <c r="U17" s="692">
        <v>57.1</v>
      </c>
      <c r="V17" s="692">
        <v>1.73</v>
      </c>
      <c r="W17" s="692"/>
      <c r="X17" s="699">
        <v>11542.5</v>
      </c>
      <c r="Y17" s="700">
        <f t="shared" si="3"/>
        <v>0.9763313609467457</v>
      </c>
      <c r="Z17" s="906">
        <f t="shared" si="5"/>
        <v>20.44</v>
      </c>
      <c r="AA17" s="907">
        <v>6.95</v>
      </c>
      <c r="AB17" s="907"/>
      <c r="AC17" s="907">
        <v>13.49</v>
      </c>
      <c r="AD17" s="891"/>
      <c r="AE17" s="908">
        <f t="shared" si="4"/>
        <v>119.44000000000001</v>
      </c>
      <c r="AF17" s="646"/>
      <c r="AJ17" s="77"/>
    </row>
    <row r="18" spans="1:36" ht="24.7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0"/>
        <v>2.6</v>
      </c>
      <c r="H18" s="798">
        <v>1</v>
      </c>
      <c r="I18" s="798"/>
      <c r="J18" s="798">
        <v>1.6</v>
      </c>
      <c r="K18" s="696"/>
      <c r="L18" s="697">
        <v>372</v>
      </c>
      <c r="M18" s="799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13">
        <f t="shared" si="2"/>
        <v>1.52</v>
      </c>
      <c r="T18" s="798">
        <f>0.43+0.22+0.03+0.08</f>
        <v>0.76</v>
      </c>
      <c r="U18" s="800"/>
      <c r="V18" s="798">
        <v>0.76</v>
      </c>
      <c r="W18" s="800"/>
      <c r="X18" s="699">
        <f>+TXHL!X8+31</f>
        <v>97</v>
      </c>
      <c r="Y18" s="700">
        <f t="shared" si="3"/>
        <v>0.5846153846153846</v>
      </c>
      <c r="Z18" s="906">
        <f t="shared" si="5"/>
        <v>6.88</v>
      </c>
      <c r="AA18" s="907"/>
      <c r="AB18" s="907">
        <v>6.88</v>
      </c>
      <c r="AC18" s="907"/>
      <c r="AD18" s="778"/>
      <c r="AE18" s="908">
        <f t="shared" si="4"/>
        <v>8.4</v>
      </c>
      <c r="AF18" s="646"/>
      <c r="AJ18" s="77"/>
    </row>
    <row r="19" spans="1:36" ht="24.7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0"/>
        <v>18</v>
      </c>
      <c r="H19" s="783">
        <v>4</v>
      </c>
      <c r="I19" s="783">
        <v>4.4</v>
      </c>
      <c r="J19" s="783">
        <v>9.6</v>
      </c>
      <c r="K19" s="784"/>
      <c r="L19" s="785">
        <v>2385</v>
      </c>
      <c r="M19" s="920">
        <f t="shared" si="1"/>
        <v>18.15</v>
      </c>
      <c r="N19" s="783">
        <v>4.73</v>
      </c>
      <c r="O19" s="783">
        <v>3.74</v>
      </c>
      <c r="P19" s="783">
        <v>9.68</v>
      </c>
      <c r="Q19" s="784"/>
      <c r="R19" s="785">
        <v>2449</v>
      </c>
      <c r="S19" s="786">
        <f t="shared" si="2"/>
        <v>17.31</v>
      </c>
      <c r="T19" s="783">
        <v>4.08</v>
      </c>
      <c r="U19" s="783">
        <v>3.63</v>
      </c>
      <c r="V19" s="783">
        <v>9.6</v>
      </c>
      <c r="W19" s="784"/>
      <c r="X19" s="785">
        <v>1642</v>
      </c>
      <c r="Y19" s="790">
        <f t="shared" si="3"/>
        <v>0.9537190082644628</v>
      </c>
      <c r="Z19" s="909">
        <f>SUM(AA19:AC19)</f>
        <v>7.489999999999999</v>
      </c>
      <c r="AA19" s="910"/>
      <c r="AB19" s="910">
        <v>6.06</v>
      </c>
      <c r="AC19" s="910">
        <v>1.43</v>
      </c>
      <c r="AD19" s="791"/>
      <c r="AE19" s="911">
        <f t="shared" si="4"/>
        <v>24.799999999999997</v>
      </c>
      <c r="AF19" s="646"/>
      <c r="AJ19" s="77"/>
    </row>
    <row r="20" spans="1:36" ht="24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799.97</v>
      </c>
      <c r="N20" s="818">
        <f t="shared" si="6"/>
        <v>200.78900000000002</v>
      </c>
      <c r="O20" s="818">
        <f t="shared" si="6"/>
        <v>420.651</v>
      </c>
      <c r="P20" s="818">
        <f t="shared" si="6"/>
        <v>173.89999999999998</v>
      </c>
      <c r="Q20" s="818">
        <f>+SUM(Q8:Q19)</f>
        <v>4.63</v>
      </c>
      <c r="R20" s="819">
        <f>+SUM(R8:R19)</f>
        <v>114302</v>
      </c>
      <c r="S20" s="820">
        <f aca="true" t="shared" si="7" ref="S20:AC20">+SUM(S8:S19)</f>
        <v>728.237</v>
      </c>
      <c r="T20" s="821">
        <f t="shared" si="7"/>
        <v>165.737</v>
      </c>
      <c r="U20" s="820">
        <f t="shared" si="7"/>
        <v>415.65999999999997</v>
      </c>
      <c r="V20" s="820">
        <f t="shared" si="7"/>
        <v>143.12999999999997</v>
      </c>
      <c r="W20" s="820">
        <f t="shared" si="7"/>
        <v>3.71</v>
      </c>
      <c r="X20" s="822">
        <f t="shared" si="7"/>
        <v>101166.5</v>
      </c>
      <c r="Y20" s="823">
        <f>+S20/G20</f>
        <v>0.9315757695151498</v>
      </c>
      <c r="Z20" s="897">
        <f t="shared" si="7"/>
        <v>236.21</v>
      </c>
      <c r="AA20" s="897">
        <f t="shared" si="7"/>
        <v>39.730000000000004</v>
      </c>
      <c r="AB20" s="897">
        <f t="shared" si="7"/>
        <v>35.26</v>
      </c>
      <c r="AC20" s="897">
        <f t="shared" si="7"/>
        <v>161.22</v>
      </c>
      <c r="AD20" s="824"/>
      <c r="AE20" s="825">
        <f>+SUM(AE8:AE19)</f>
        <v>964.447</v>
      </c>
      <c r="AF20" s="890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964,447 km, trong đó có 161,22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/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861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R26" s="68">
        <f>20.6+42.2+38.1</f>
        <v>100.9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728.237</v>
      </c>
      <c r="T29" s="854">
        <f t="shared" si="8"/>
        <v>165.737</v>
      </c>
      <c r="U29" s="854">
        <f t="shared" si="8"/>
        <v>415.65999999999997</v>
      </c>
      <c r="V29" s="854">
        <f t="shared" si="8"/>
        <v>143.12999999999997</v>
      </c>
      <c r="W29" s="854">
        <f t="shared" si="8"/>
        <v>3.71</v>
      </c>
      <c r="X29" s="902">
        <f t="shared" si="8"/>
        <v>101166.5</v>
      </c>
    </row>
    <row r="30" spans="18:24" ht="15">
      <c r="R30" s="862" t="s">
        <v>362</v>
      </c>
      <c r="S30" s="854">
        <f>+'12.12.2013'!S20</f>
        <v>704.6669999999999</v>
      </c>
      <c r="T30" s="854">
        <f>+'12.12.2013'!T20</f>
        <v>160.957</v>
      </c>
      <c r="U30" s="854">
        <f>+'12.12.2013'!U20</f>
        <v>399.23</v>
      </c>
      <c r="V30" s="854">
        <f>+'12.12.2013'!V20</f>
        <v>140.76999999999998</v>
      </c>
      <c r="W30" s="854">
        <f>+'12.12.2013'!W20</f>
        <v>3.71</v>
      </c>
      <c r="X30" s="854">
        <f>+'12.12.2013'!X20</f>
        <v>99311.55</v>
      </c>
    </row>
    <row r="31" spans="18:24" ht="15">
      <c r="R31" s="862" t="s">
        <v>363</v>
      </c>
      <c r="S31" s="854">
        <f aca="true" t="shared" si="9" ref="S31:X31">+S20-S30</f>
        <v>23.57000000000005</v>
      </c>
      <c r="T31" s="854">
        <f t="shared" si="9"/>
        <v>4.780000000000001</v>
      </c>
      <c r="U31" s="854">
        <f t="shared" si="9"/>
        <v>16.42999999999995</v>
      </c>
      <c r="V31" s="854">
        <f t="shared" si="9"/>
        <v>2.359999999999985</v>
      </c>
      <c r="W31" s="854">
        <f t="shared" si="9"/>
        <v>0</v>
      </c>
      <c r="X31" s="902">
        <f t="shared" si="9"/>
        <v>1854.949999999997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f>+N42+O42+P42</f>
        <v>57.86</v>
      </c>
      <c r="N42" s="68">
        <v>23.35</v>
      </c>
      <c r="O42" s="68">
        <v>12.54</v>
      </c>
      <c r="P42" s="68">
        <v>21.97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30.04</v>
      </c>
      <c r="N46" s="863">
        <f>+N42-N43-N44-N45</f>
        <v>6.630000000000003</v>
      </c>
      <c r="O46" s="863">
        <f>+O42-O43-O44-O45</f>
        <v>10.94</v>
      </c>
      <c r="P46" s="863">
        <f>+P42-P43-P44-P45</f>
        <v>12.469999999999999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A5:AC5"/>
    <mergeCell ref="A20:B20"/>
    <mergeCell ref="N5:Q5"/>
    <mergeCell ref="R5:R6"/>
    <mergeCell ref="S5:S6"/>
    <mergeCell ref="T5:W5"/>
    <mergeCell ref="X5:X6"/>
    <mergeCell ref="Z5:Z6"/>
    <mergeCell ref="Z4:AC4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" bottom="0.36" header="0.19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8">
      <selection activeCell="N42" sqref="N42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5.50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434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38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98">
        <f>SUM(AA8:AC8)</f>
        <v>7.790000000000001</v>
      </c>
      <c r="AA8" s="895">
        <v>4.15</v>
      </c>
      <c r="AB8" s="895"/>
      <c r="AC8" s="895">
        <v>3.64</v>
      </c>
      <c r="AD8" s="814"/>
      <c r="AE8" s="899">
        <f>+S8+Z8</f>
        <v>60.357</v>
      </c>
      <c r="AF8" s="646"/>
      <c r="AJ8" s="77"/>
    </row>
    <row r="9" spans="1:36" ht="24.75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54.059999999999995</v>
      </c>
      <c r="T9" s="344">
        <v>13.34</v>
      </c>
      <c r="U9" s="514">
        <v>32.99</v>
      </c>
      <c r="V9" s="344">
        <v>6.22</v>
      </c>
      <c r="W9" s="344">
        <v>1.51</v>
      </c>
      <c r="X9" s="827">
        <v>8581</v>
      </c>
      <c r="Y9" s="604">
        <f aca="true" t="shared" si="3" ref="Y9:Y19">+S9/M9</f>
        <v>0.8203338391502276</v>
      </c>
      <c r="Z9" s="903">
        <f>SUM(AA9:AC9)</f>
        <v>13.78</v>
      </c>
      <c r="AA9" s="896">
        <v>2.44</v>
      </c>
      <c r="AB9" s="896">
        <v>3.34</v>
      </c>
      <c r="AC9" s="896">
        <v>8</v>
      </c>
      <c r="AD9" s="828"/>
      <c r="AE9" s="900">
        <f aca="true" t="shared" si="4" ref="AE9:AE19">+S9+Z9</f>
        <v>67.83999999999999</v>
      </c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3"/>
        <v>0.9204621195289935</v>
      </c>
      <c r="Z10" s="903">
        <f aca="true" t="shared" si="5" ref="Z10:Z18">SUM(AA10:AC10)</f>
        <v>24.79</v>
      </c>
      <c r="AA10" s="896"/>
      <c r="AB10" s="896">
        <v>0.8</v>
      </c>
      <c r="AC10" s="896">
        <v>23.99</v>
      </c>
      <c r="AD10" s="473"/>
      <c r="AE10" s="900">
        <f t="shared" si="4"/>
        <v>66.22</v>
      </c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29.29</v>
      </c>
      <c r="T11" s="471">
        <v>6.05</v>
      </c>
      <c r="U11" s="471">
        <v>10.84</v>
      </c>
      <c r="V11" s="471">
        <f>11.56+0.84</f>
        <v>12.4</v>
      </c>
      <c r="W11" s="471"/>
      <c r="X11" s="618">
        <v>2890</v>
      </c>
      <c r="Y11" s="604">
        <f t="shared" si="3"/>
        <v>0.9534505208333333</v>
      </c>
      <c r="Z11" s="903">
        <f t="shared" si="5"/>
        <v>27.82</v>
      </c>
      <c r="AA11" s="896">
        <v>6.42</v>
      </c>
      <c r="AB11" s="896">
        <v>0.9</v>
      </c>
      <c r="AC11" s="896">
        <v>20.5</v>
      </c>
      <c r="AD11" s="828"/>
      <c r="AE11" s="900">
        <f t="shared" si="4"/>
        <v>57.11</v>
      </c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79.63000000000001</v>
      </c>
      <c r="T12" s="471">
        <v>19</v>
      </c>
      <c r="U12" s="471">
        <v>51.31</v>
      </c>
      <c r="V12" s="471">
        <v>7.12</v>
      </c>
      <c r="W12" s="471">
        <v>2.2</v>
      </c>
      <c r="X12" s="618">
        <v>10859</v>
      </c>
      <c r="Y12" s="604">
        <f t="shared" si="3"/>
        <v>0.9878426994169459</v>
      </c>
      <c r="Z12" s="903">
        <f t="shared" si="5"/>
        <v>27.71</v>
      </c>
      <c r="AA12" s="896">
        <v>4.31</v>
      </c>
      <c r="AB12" s="896">
        <v>1.73</v>
      </c>
      <c r="AC12" s="896">
        <v>21.67</v>
      </c>
      <c r="AD12" s="828"/>
      <c r="AE12" s="900">
        <f t="shared" si="4"/>
        <v>107.34</v>
      </c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72.02</v>
      </c>
      <c r="T13" s="471">
        <v>9.22</v>
      </c>
      <c r="U13" s="471">
        <v>40.8</v>
      </c>
      <c r="V13" s="471">
        <v>22</v>
      </c>
      <c r="W13" s="471"/>
      <c r="X13" s="618">
        <v>10774</v>
      </c>
      <c r="Y13" s="604">
        <f t="shared" si="3"/>
        <v>0.8120419438493629</v>
      </c>
      <c r="Z13" s="903">
        <f t="shared" si="5"/>
        <v>12.2</v>
      </c>
      <c r="AA13" s="896"/>
      <c r="AB13" s="896"/>
      <c r="AC13" s="896">
        <v>12.2</v>
      </c>
      <c r="AD13" s="828"/>
      <c r="AE13" s="900">
        <f t="shared" si="4"/>
        <v>84.22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107.7</v>
      </c>
      <c r="T14" s="471">
        <v>22.6</v>
      </c>
      <c r="U14" s="471">
        <v>45.1</v>
      </c>
      <c r="V14" s="471">
        <v>40</v>
      </c>
      <c r="W14" s="471"/>
      <c r="X14" s="618">
        <v>14359.5</v>
      </c>
      <c r="Y14" s="604">
        <f t="shared" si="3"/>
        <v>0.8054142985342507</v>
      </c>
      <c r="Z14" s="903">
        <f t="shared" si="5"/>
        <v>22.96</v>
      </c>
      <c r="AA14" s="896">
        <v>14.46</v>
      </c>
      <c r="AB14" s="896">
        <v>4</v>
      </c>
      <c r="AC14" s="896">
        <v>4.5</v>
      </c>
      <c r="AD14" s="473"/>
      <c r="AE14" s="900">
        <f t="shared" si="4"/>
        <v>130.66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111.57999999999998</v>
      </c>
      <c r="T15" s="471">
        <v>21.05</v>
      </c>
      <c r="U15" s="471">
        <v>78.6</v>
      </c>
      <c r="V15" s="471">
        <v>11.93</v>
      </c>
      <c r="W15" s="471"/>
      <c r="X15" s="618">
        <v>14024.5</v>
      </c>
      <c r="Y15" s="604">
        <f t="shared" si="3"/>
        <v>1.004230042300423</v>
      </c>
      <c r="Z15" s="903">
        <f t="shared" si="5"/>
        <v>51.25</v>
      </c>
      <c r="AA15" s="896"/>
      <c r="AB15" s="896">
        <v>11.55</v>
      </c>
      <c r="AC15" s="896">
        <v>39.7</v>
      </c>
      <c r="AD15" s="473"/>
      <c r="AE15" s="900">
        <f t="shared" si="4"/>
        <v>162.82999999999998</v>
      </c>
      <c r="AF15" s="646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7950</v>
      </c>
      <c r="Y16" s="604">
        <f t="shared" si="3"/>
        <v>0.6218671679197993</v>
      </c>
      <c r="Z16" s="903">
        <f t="shared" si="5"/>
        <v>13.1</v>
      </c>
      <c r="AA16" s="896">
        <v>1</v>
      </c>
      <c r="AB16" s="896"/>
      <c r="AC16" s="896">
        <v>12.1</v>
      </c>
      <c r="AD16" s="473"/>
      <c r="AE16" s="900">
        <f t="shared" si="4"/>
        <v>52.8</v>
      </c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97.86</v>
      </c>
      <c r="T17" s="471">
        <v>39.53</v>
      </c>
      <c r="U17" s="471">
        <v>56.6</v>
      </c>
      <c r="V17" s="471">
        <v>1.73</v>
      </c>
      <c r="W17" s="471"/>
      <c r="X17" s="618">
        <v>11542.5</v>
      </c>
      <c r="Y17" s="604">
        <f t="shared" si="3"/>
        <v>0.9650887573964496</v>
      </c>
      <c r="Z17" s="903">
        <f t="shared" si="5"/>
        <v>20.44</v>
      </c>
      <c r="AA17" s="896">
        <v>6.95</v>
      </c>
      <c r="AB17" s="896"/>
      <c r="AC17" s="896">
        <v>13.49</v>
      </c>
      <c r="AD17" s="828"/>
      <c r="AE17" s="900">
        <f t="shared" si="4"/>
        <v>118.3</v>
      </c>
      <c r="AF17" s="646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0.5846153846153846</v>
      </c>
      <c r="Z18" s="903">
        <f t="shared" si="5"/>
        <v>6.88</v>
      </c>
      <c r="AA18" s="896"/>
      <c r="AB18" s="896">
        <v>6.88</v>
      </c>
      <c r="AC18" s="896"/>
      <c r="AD18" s="473"/>
      <c r="AE18" s="900">
        <f t="shared" si="4"/>
        <v>8.4</v>
      </c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1642</v>
      </c>
      <c r="Y19" s="610">
        <f t="shared" si="3"/>
        <v>0.9835227272727272</v>
      </c>
      <c r="Z19" s="904">
        <f>SUM(AA19:AC19)</f>
        <v>7.489999999999999</v>
      </c>
      <c r="AA19" s="905"/>
      <c r="AB19" s="905">
        <v>6.06</v>
      </c>
      <c r="AC19" s="905">
        <v>1.43</v>
      </c>
      <c r="AD19" s="587"/>
      <c r="AE19" s="901">
        <f t="shared" si="4"/>
        <v>24.799999999999997</v>
      </c>
      <c r="AF19" s="646"/>
      <c r="AJ19" s="77"/>
    </row>
    <row r="20" spans="1:36" ht="24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AC20">+SUM(S8:S19)</f>
        <v>704.6669999999999</v>
      </c>
      <c r="T20" s="821">
        <f t="shared" si="7"/>
        <v>160.957</v>
      </c>
      <c r="U20" s="820">
        <f t="shared" si="7"/>
        <v>399.23</v>
      </c>
      <c r="V20" s="820">
        <f t="shared" si="7"/>
        <v>140.76999999999998</v>
      </c>
      <c r="W20" s="820">
        <f t="shared" si="7"/>
        <v>3.71</v>
      </c>
      <c r="X20" s="822">
        <f t="shared" si="7"/>
        <v>99311.55</v>
      </c>
      <c r="Y20" s="823">
        <f>+S20/G20</f>
        <v>0.9014245400562344</v>
      </c>
      <c r="Z20" s="897">
        <f t="shared" si="7"/>
        <v>236.21</v>
      </c>
      <c r="AA20" s="897">
        <f t="shared" si="7"/>
        <v>39.730000000000004</v>
      </c>
      <c r="AB20" s="897">
        <f t="shared" si="7"/>
        <v>35.26</v>
      </c>
      <c r="AC20" s="897">
        <f t="shared" si="7"/>
        <v>161.22</v>
      </c>
      <c r="AD20" s="824"/>
      <c r="AE20" s="825">
        <f>+SUM(AE8:AE19)</f>
        <v>940.8769999999998</v>
      </c>
      <c r="AF20" s="890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940,877 km, trong đó có 161,22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/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861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R26" s="68">
        <f>20.6+42.2+38.1</f>
        <v>100.9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704.6669999999999</v>
      </c>
      <c r="T29" s="854">
        <f t="shared" si="8"/>
        <v>160.957</v>
      </c>
      <c r="U29" s="854">
        <f t="shared" si="8"/>
        <v>399.23</v>
      </c>
      <c r="V29" s="854">
        <f t="shared" si="8"/>
        <v>140.76999999999998</v>
      </c>
      <c r="W29" s="854">
        <f t="shared" si="8"/>
        <v>3.71</v>
      </c>
      <c r="X29" s="902">
        <f t="shared" si="8"/>
        <v>99311.55</v>
      </c>
    </row>
    <row r="30" spans="18:24" ht="15">
      <c r="R30" s="862" t="s">
        <v>362</v>
      </c>
      <c r="S30" s="854">
        <f>'05.12.2013'!S20</f>
        <v>681.717</v>
      </c>
      <c r="T30" s="854">
        <f>'05.12.2013'!T20</f>
        <v>160.427</v>
      </c>
      <c r="U30" s="854">
        <f>'05.12.2013'!U20</f>
        <v>382.90000000000003</v>
      </c>
      <c r="V30" s="854">
        <f>'05.12.2013'!V20</f>
        <v>135.24</v>
      </c>
      <c r="W30" s="854">
        <f>'05.12.2013'!W20</f>
        <v>3.15</v>
      </c>
      <c r="X30" s="854">
        <f>'05.12.2013'!X20</f>
        <v>95592.55</v>
      </c>
    </row>
    <row r="31" spans="18:24" ht="15">
      <c r="R31" s="862" t="s">
        <v>363</v>
      </c>
      <c r="S31" s="854">
        <f aca="true" t="shared" si="9" ref="S31:X31">+S20-S30</f>
        <v>22.949999999999932</v>
      </c>
      <c r="T31" s="854">
        <f t="shared" si="9"/>
        <v>0.5300000000000011</v>
      </c>
      <c r="U31" s="854">
        <f t="shared" si="9"/>
        <v>16.329999999999984</v>
      </c>
      <c r="V31" s="854">
        <f t="shared" si="9"/>
        <v>5.529999999999973</v>
      </c>
      <c r="W31" s="854">
        <f t="shared" si="9"/>
        <v>0.56</v>
      </c>
      <c r="X31" s="902">
        <f t="shared" si="9"/>
        <v>3719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v>56.27</v>
      </c>
      <c r="N42" s="68">
        <v>22.77</v>
      </c>
      <c r="O42" s="68">
        <v>12.44</v>
      </c>
      <c r="P42" s="68">
        <v>21.06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28.450000000000003</v>
      </c>
      <c r="N46" s="863">
        <f>+N42-N43-N44-N45</f>
        <v>6.050000000000001</v>
      </c>
      <c r="O46" s="863">
        <f>+O42-O43-O44-O45</f>
        <v>10.84</v>
      </c>
      <c r="P46" s="863">
        <f>+P42-P43-P44-P45</f>
        <v>11.559999999999999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  <mergeCell ref="Z4:AC4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AA5:AC5"/>
    <mergeCell ref="A20:B20"/>
    <mergeCell ref="N5:Q5"/>
    <mergeCell ref="R5:R6"/>
    <mergeCell ref="S5:S6"/>
    <mergeCell ref="T5:W5"/>
    <mergeCell ref="X5:X6"/>
    <mergeCell ref="Z5:Z6"/>
  </mergeCells>
  <printOptions/>
  <pageMargins left="0.35625" right="0.2" top="0.5" bottom="0.36" header="0.19" footer="0.31496062992125984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9">
      <selection activeCell="V6" sqref="V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9" width="7.125" style="68" customWidth="1"/>
    <col min="30" max="30" width="9.50390625" style="68" customWidth="1"/>
    <col min="31" max="31" width="5.50390625" style="68" customWidth="1"/>
    <col min="32" max="32" width="7.50390625" style="638" customWidth="1"/>
    <col min="33" max="33" width="5.50390625" style="68" customWidth="1"/>
    <col min="34" max="35" width="6.75390625" style="68" customWidth="1"/>
    <col min="36" max="36" width="9.00390625" style="68" customWidth="1"/>
    <col min="37" max="16384" width="9.00390625" style="68" customWidth="1"/>
  </cols>
  <sheetData>
    <row r="1" spans="1:33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832"/>
      <c r="AF1" s="832"/>
      <c r="AG1" s="833"/>
    </row>
    <row r="2" spans="1:33" s="569" customFormat="1" ht="22.5" customHeight="1">
      <c r="A2" s="948" t="s">
        <v>430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834"/>
      <c r="AF2" s="834"/>
      <c r="AG2" s="835"/>
    </row>
    <row r="3" spans="1:33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836"/>
      <c r="AF3" s="836"/>
      <c r="AG3" s="835"/>
    </row>
    <row r="4" spans="1:32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426</v>
      </c>
      <c r="N4" s="954"/>
      <c r="O4" s="954"/>
      <c r="P4" s="954"/>
      <c r="Q4" s="954"/>
      <c r="R4" s="955"/>
      <c r="S4" s="956" t="s">
        <v>433</v>
      </c>
      <c r="T4" s="957"/>
      <c r="U4" s="957"/>
      <c r="V4" s="957"/>
      <c r="W4" s="957"/>
      <c r="X4" s="958"/>
      <c r="Y4" s="951" t="s">
        <v>43</v>
      </c>
      <c r="Z4" s="953" t="s">
        <v>431</v>
      </c>
      <c r="AA4" s="954"/>
      <c r="AB4" s="954"/>
      <c r="AC4" s="955"/>
      <c r="AD4" s="950" t="s">
        <v>14</v>
      </c>
      <c r="AE4" s="951" t="s">
        <v>420</v>
      </c>
      <c r="AF4" s="959"/>
    </row>
    <row r="5" spans="1:33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72" t="s">
        <v>23</v>
      </c>
      <c r="AA5" s="964" t="s">
        <v>427</v>
      </c>
      <c r="AB5" s="965"/>
      <c r="AC5" s="966"/>
      <c r="AD5" s="950"/>
      <c r="AE5" s="951"/>
      <c r="AF5" s="959"/>
      <c r="AG5" s="840"/>
    </row>
    <row r="6" spans="1:35" s="838" customFormat="1" ht="82.5" customHeight="1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73"/>
      <c r="AA6" s="894" t="s">
        <v>428</v>
      </c>
      <c r="AB6" s="894" t="s">
        <v>432</v>
      </c>
      <c r="AC6" s="894" t="s">
        <v>429</v>
      </c>
      <c r="AD6" s="950"/>
      <c r="AE6" s="951"/>
      <c r="AF6" s="959"/>
      <c r="AG6" s="888"/>
      <c r="AH6" s="837"/>
      <c r="AI6" s="837"/>
    </row>
    <row r="7" spans="1:33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5"/>
      <c r="AA7" s="845"/>
      <c r="AB7" s="845"/>
      <c r="AC7" s="845"/>
      <c r="AD7" s="848"/>
      <c r="AE7" s="845"/>
      <c r="AF7" s="849"/>
      <c r="AG7" s="849"/>
    </row>
    <row r="8" spans="1:36" ht="24.75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98">
        <f>SUM(AA8:AC8)</f>
        <v>7.790000000000001</v>
      </c>
      <c r="AA8" s="895">
        <v>4.15</v>
      </c>
      <c r="AB8" s="895"/>
      <c r="AC8" s="895">
        <v>3.64</v>
      </c>
      <c r="AD8" s="814"/>
      <c r="AE8" s="899">
        <f>+S8+Z8</f>
        <v>60.357</v>
      </c>
      <c r="AF8" s="646"/>
      <c r="AJ8" s="77"/>
    </row>
    <row r="9" spans="1:36" ht="24.75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49.169999999999995</v>
      </c>
      <c r="T9" s="344">
        <v>12.81</v>
      </c>
      <c r="U9" s="514">
        <v>29.13</v>
      </c>
      <c r="V9" s="344">
        <v>6.02</v>
      </c>
      <c r="W9" s="344">
        <v>1.21</v>
      </c>
      <c r="X9" s="827">
        <v>8581</v>
      </c>
      <c r="Y9" s="604">
        <f aca="true" t="shared" si="3" ref="Y9:Y19">+S9/M9</f>
        <v>0.7461305007587253</v>
      </c>
      <c r="Z9" s="903">
        <f>SUM(AA9:AC9)</f>
        <v>13.78</v>
      </c>
      <c r="AA9" s="896">
        <v>2.44</v>
      </c>
      <c r="AB9" s="896">
        <v>3.34</v>
      </c>
      <c r="AC9" s="896">
        <v>8</v>
      </c>
      <c r="AD9" s="828"/>
      <c r="AE9" s="900">
        <f aca="true" t="shared" si="4" ref="AE9:AE19">+S9+Z9</f>
        <v>62.949999999999996</v>
      </c>
      <c r="AF9" s="646"/>
      <c r="AJ9" s="77"/>
    </row>
    <row r="10" spans="1:36" ht="24.75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3"/>
        <v>0.9204621195289935</v>
      </c>
      <c r="Z10" s="903">
        <f aca="true" t="shared" si="5" ref="Z10:Z18">SUM(AA10:AC10)</f>
        <v>24.79</v>
      </c>
      <c r="AA10" s="896"/>
      <c r="AB10" s="896">
        <v>0.8</v>
      </c>
      <c r="AC10" s="896">
        <v>23.99</v>
      </c>
      <c r="AD10" s="473"/>
      <c r="AE10" s="900">
        <f t="shared" si="4"/>
        <v>66.22</v>
      </c>
      <c r="AF10" s="646"/>
      <c r="AH10" s="77"/>
      <c r="AJ10" s="77"/>
    </row>
    <row r="11" spans="1:36" ht="24.7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28.450000000000003</v>
      </c>
      <c r="T11" s="471">
        <v>6.05</v>
      </c>
      <c r="U11" s="471">
        <v>10.84</v>
      </c>
      <c r="V11" s="471">
        <v>11.56</v>
      </c>
      <c r="W11" s="471"/>
      <c r="X11" s="618">
        <v>2657</v>
      </c>
      <c r="Y11" s="604">
        <f t="shared" si="3"/>
        <v>0.9261067708333334</v>
      </c>
      <c r="Z11" s="903">
        <f t="shared" si="5"/>
        <v>27.82</v>
      </c>
      <c r="AA11" s="896">
        <v>6.42</v>
      </c>
      <c r="AB11" s="896">
        <v>0.9</v>
      </c>
      <c r="AC11" s="896">
        <v>20.5</v>
      </c>
      <c r="AD11" s="828"/>
      <c r="AE11" s="900">
        <f t="shared" si="4"/>
        <v>56.27</v>
      </c>
      <c r="AF11" s="646"/>
      <c r="AG11" s="77"/>
      <c r="AJ11" s="77"/>
    </row>
    <row r="12" spans="1:36" ht="24.75" customHeight="1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10715</v>
      </c>
      <c r="Y12" s="604">
        <f t="shared" si="3"/>
        <v>0.9754372906587272</v>
      </c>
      <c r="Z12" s="903">
        <f t="shared" si="5"/>
        <v>27.71</v>
      </c>
      <c r="AA12" s="896">
        <v>4.31</v>
      </c>
      <c r="AB12" s="896">
        <v>1.73</v>
      </c>
      <c r="AC12" s="896">
        <v>21.67</v>
      </c>
      <c r="AD12" s="828"/>
      <c r="AE12" s="900">
        <f t="shared" si="4"/>
        <v>106.34</v>
      </c>
      <c r="AF12" s="646"/>
      <c r="AJ12" s="77"/>
    </row>
    <row r="13" spans="1:36" ht="24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67.16999999999999</v>
      </c>
      <c r="T13" s="471">
        <v>9.2</v>
      </c>
      <c r="U13" s="471">
        <v>36.4</v>
      </c>
      <c r="V13" s="471">
        <v>21.57</v>
      </c>
      <c r="W13" s="471"/>
      <c r="X13" s="618">
        <v>7917</v>
      </c>
      <c r="Y13" s="604">
        <f t="shared" si="3"/>
        <v>0.7573570864810011</v>
      </c>
      <c r="Z13" s="903">
        <f t="shared" si="5"/>
        <v>12.2</v>
      </c>
      <c r="AA13" s="896"/>
      <c r="AB13" s="896"/>
      <c r="AC13" s="896">
        <v>12.2</v>
      </c>
      <c r="AD13" s="828"/>
      <c r="AE13" s="900">
        <f t="shared" si="4"/>
        <v>79.36999999999999</v>
      </c>
      <c r="AF13" s="646"/>
      <c r="AJ13" s="77"/>
    </row>
    <row r="14" spans="1:36" ht="24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100.9</v>
      </c>
      <c r="T14" s="471">
        <v>20.6</v>
      </c>
      <c r="U14" s="471">
        <v>46.77</v>
      </c>
      <c r="V14" s="471">
        <v>33.53</v>
      </c>
      <c r="W14" s="471"/>
      <c r="X14" s="618">
        <v>14024.5</v>
      </c>
      <c r="Y14" s="604">
        <f t="shared" si="3"/>
        <v>0.754561770864493</v>
      </c>
      <c r="Z14" s="903">
        <f t="shared" si="5"/>
        <v>22.96</v>
      </c>
      <c r="AA14" s="896">
        <v>14.46</v>
      </c>
      <c r="AB14" s="896">
        <v>4</v>
      </c>
      <c r="AC14" s="896">
        <v>4.5</v>
      </c>
      <c r="AD14" s="473"/>
      <c r="AE14" s="900">
        <f t="shared" si="4"/>
        <v>123.86000000000001</v>
      </c>
      <c r="AF14" s="646"/>
      <c r="AG14" s="77"/>
      <c r="AJ14" s="77"/>
    </row>
    <row r="15" spans="1:36" ht="24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109.85999999999999</v>
      </c>
      <c r="T15" s="471">
        <v>24.3</v>
      </c>
      <c r="U15" s="471">
        <v>70.96</v>
      </c>
      <c r="V15" s="471">
        <v>14.6</v>
      </c>
      <c r="W15" s="471"/>
      <c r="X15" s="618">
        <v>14024.5</v>
      </c>
      <c r="Y15" s="604">
        <f t="shared" si="3"/>
        <v>0.9887498874988748</v>
      </c>
      <c r="Z15" s="903">
        <f t="shared" si="5"/>
        <v>51.25</v>
      </c>
      <c r="AA15" s="896"/>
      <c r="AB15" s="896">
        <v>11.55</v>
      </c>
      <c r="AC15" s="896">
        <v>39.7</v>
      </c>
      <c r="AD15" s="473"/>
      <c r="AE15" s="900">
        <f t="shared" si="4"/>
        <v>161.10999999999999</v>
      </c>
      <c r="AF15" s="646"/>
      <c r="AJ15" s="77"/>
    </row>
    <row r="16" spans="1:36" ht="24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7950</v>
      </c>
      <c r="Y16" s="604">
        <f t="shared" si="3"/>
        <v>0.6218671679197993</v>
      </c>
      <c r="Z16" s="903">
        <f t="shared" si="5"/>
        <v>13.1</v>
      </c>
      <c r="AA16" s="896">
        <v>1</v>
      </c>
      <c r="AB16" s="896"/>
      <c r="AC16" s="896">
        <v>12.1</v>
      </c>
      <c r="AD16" s="473"/>
      <c r="AE16" s="900">
        <f t="shared" si="4"/>
        <v>52.8</v>
      </c>
      <c r="AF16" s="646"/>
      <c r="AJ16" s="77"/>
    </row>
    <row r="17" spans="1:36" ht="24.7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95.01</v>
      </c>
      <c r="T17" s="471">
        <v>38.78</v>
      </c>
      <c r="U17" s="471">
        <v>54.5</v>
      </c>
      <c r="V17" s="471">
        <v>1.73</v>
      </c>
      <c r="W17" s="471"/>
      <c r="X17" s="618">
        <v>11542.5</v>
      </c>
      <c r="Y17" s="604">
        <f t="shared" si="3"/>
        <v>0.9369822485207101</v>
      </c>
      <c r="Z17" s="903">
        <f t="shared" si="5"/>
        <v>20.44</v>
      </c>
      <c r="AA17" s="896">
        <v>6.95</v>
      </c>
      <c r="AB17" s="896"/>
      <c r="AC17" s="896">
        <v>13.49</v>
      </c>
      <c r="AD17" s="828"/>
      <c r="AE17" s="900">
        <f t="shared" si="4"/>
        <v>115.45</v>
      </c>
      <c r="AF17" s="646"/>
      <c r="AJ17" s="77"/>
    </row>
    <row r="18" spans="1:36" ht="24.7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0.5846153846153846</v>
      </c>
      <c r="Z18" s="903">
        <f t="shared" si="5"/>
        <v>6.88</v>
      </c>
      <c r="AA18" s="896"/>
      <c r="AB18" s="896">
        <v>6.88</v>
      </c>
      <c r="AC18" s="896"/>
      <c r="AD18" s="473"/>
      <c r="AE18" s="900">
        <f t="shared" si="4"/>
        <v>8.4</v>
      </c>
      <c r="AF18" s="646"/>
      <c r="AJ18" s="77"/>
    </row>
    <row r="19" spans="1:36" ht="24.7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1492</v>
      </c>
      <c r="Y19" s="610">
        <f t="shared" si="3"/>
        <v>0.9835227272727272</v>
      </c>
      <c r="Z19" s="904">
        <f>SUM(AA19:AC19)</f>
        <v>7.489999999999999</v>
      </c>
      <c r="AA19" s="905"/>
      <c r="AB19" s="905">
        <v>6.06</v>
      </c>
      <c r="AC19" s="905">
        <v>1.43</v>
      </c>
      <c r="AD19" s="587"/>
      <c r="AE19" s="901">
        <f t="shared" si="4"/>
        <v>24.799999999999997</v>
      </c>
      <c r="AF19" s="646"/>
      <c r="AJ19" s="77"/>
    </row>
    <row r="20" spans="1:36" ht="24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AC20">+SUM(S8:S19)</f>
        <v>681.717</v>
      </c>
      <c r="T20" s="821">
        <f t="shared" si="7"/>
        <v>160.427</v>
      </c>
      <c r="U20" s="820">
        <f t="shared" si="7"/>
        <v>382.90000000000003</v>
      </c>
      <c r="V20" s="820">
        <f t="shared" si="7"/>
        <v>135.24</v>
      </c>
      <c r="W20" s="820">
        <f t="shared" si="7"/>
        <v>3.15</v>
      </c>
      <c r="X20" s="822">
        <f t="shared" si="7"/>
        <v>95592.55</v>
      </c>
      <c r="Y20" s="823">
        <f>+S20/G20</f>
        <v>0.8720664273671337</v>
      </c>
      <c r="Z20" s="897">
        <f t="shared" si="7"/>
        <v>236.21</v>
      </c>
      <c r="AA20" s="897">
        <f t="shared" si="7"/>
        <v>39.730000000000004</v>
      </c>
      <c r="AB20" s="897">
        <f t="shared" si="7"/>
        <v>35.26</v>
      </c>
      <c r="AC20" s="897">
        <f t="shared" si="7"/>
        <v>161.22</v>
      </c>
      <c r="AD20" s="824"/>
      <c r="AE20" s="825">
        <f>+SUM(AE8:AE19)</f>
        <v>917.9269999999999</v>
      </c>
      <c r="AF20" s="890"/>
      <c r="AG20" s="850"/>
      <c r="AH20" s="850"/>
      <c r="AI20" s="850"/>
      <c r="AJ20" s="889"/>
    </row>
    <row r="21" spans="2:33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51"/>
      <c r="AF21" s="852"/>
      <c r="AG21" s="77"/>
    </row>
    <row r="22" spans="2:33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"&amp;AE20&amp;" km, trong đó có "&amp;AC20&amp;" km đường dự án lồng ghép"</f>
        <v>- Khối lượng đường nhựa, đường BTXM cả tỉnh đến thời điểm báo cáo: 917,927 km, trong đó có 161,22 km đường dự án lồng ghép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51"/>
      <c r="AF22" s="852"/>
      <c r="AG22" s="77"/>
    </row>
    <row r="23" spans="2:32" ht="15">
      <c r="B23" s="893"/>
      <c r="M23" s="884"/>
      <c r="U23" s="77"/>
      <c r="V23" s="77"/>
      <c r="X23" s="855"/>
      <c r="Y23" s="856"/>
      <c r="Z23" s="856"/>
      <c r="AA23" s="856"/>
      <c r="AB23" s="856"/>
      <c r="AC23" s="856"/>
      <c r="AF23" s="857"/>
    </row>
    <row r="24" spans="2:24" ht="15">
      <c r="B24" s="858"/>
      <c r="G24" s="859"/>
      <c r="M24" s="887"/>
      <c r="S24" s="860"/>
      <c r="X24" s="861"/>
    </row>
    <row r="25" spans="12:32" ht="15">
      <c r="L25" s="862" t="s">
        <v>361</v>
      </c>
      <c r="S25" s="68"/>
      <c r="Y25" s="854"/>
      <c r="Z25" s="854"/>
      <c r="AA25" s="854"/>
      <c r="AB25" s="854"/>
      <c r="AC25" s="854"/>
      <c r="AD25" s="854"/>
      <c r="AE25" s="854"/>
      <c r="AF25" s="854"/>
    </row>
    <row r="26" spans="12:32" ht="15">
      <c r="L26" s="862" t="s">
        <v>362</v>
      </c>
      <c r="R26" s="68">
        <f>20.6+42.2+38.1</f>
        <v>100.9</v>
      </c>
      <c r="S26" s="68"/>
      <c r="Y26" s="854"/>
      <c r="Z26" s="854"/>
      <c r="AA26" s="854"/>
      <c r="AB26" s="854"/>
      <c r="AC26" s="854"/>
      <c r="AD26" s="854"/>
      <c r="AE26" s="854"/>
      <c r="AF26" s="854"/>
    </row>
    <row r="27" spans="12:32" ht="15">
      <c r="L27" s="862" t="s">
        <v>363</v>
      </c>
      <c r="S27" s="68"/>
      <c r="Y27" s="854"/>
      <c r="Z27" s="854"/>
      <c r="AA27" s="854"/>
      <c r="AB27" s="854"/>
      <c r="AC27" s="854"/>
      <c r="AD27" s="854"/>
      <c r="AE27" s="854"/>
      <c r="AF27" s="854"/>
    </row>
    <row r="29" spans="18:24" ht="15">
      <c r="R29" s="862" t="s">
        <v>361</v>
      </c>
      <c r="S29" s="854">
        <f aca="true" t="shared" si="8" ref="S29:X29">+S20</f>
        <v>681.717</v>
      </c>
      <c r="T29" s="854">
        <f t="shared" si="8"/>
        <v>160.427</v>
      </c>
      <c r="U29" s="854">
        <f t="shared" si="8"/>
        <v>382.90000000000003</v>
      </c>
      <c r="V29" s="854">
        <f t="shared" si="8"/>
        <v>135.24</v>
      </c>
      <c r="W29" s="854">
        <f t="shared" si="8"/>
        <v>3.15</v>
      </c>
      <c r="X29" s="902">
        <f t="shared" si="8"/>
        <v>95592.55</v>
      </c>
    </row>
    <row r="30" spans="18:24" ht="15">
      <c r="R30" s="862" t="s">
        <v>362</v>
      </c>
      <c r="S30" s="854">
        <f>+'28.11.2013'!S20</f>
        <v>662.016</v>
      </c>
      <c r="T30" s="854">
        <f>+'28.11.2013'!T20</f>
        <v>150.64700000000002</v>
      </c>
      <c r="U30" s="854">
        <f>+'28.11.2013'!U20</f>
        <v>379.627</v>
      </c>
      <c r="V30" s="854">
        <f>+'28.11.2013'!V20</f>
        <v>129.44000000000003</v>
      </c>
      <c r="W30" s="854">
        <f>+'28.11.2013'!W20</f>
        <v>2.302</v>
      </c>
      <c r="X30" s="902">
        <f>+'28.11.2013'!X20</f>
        <v>92266.2</v>
      </c>
    </row>
    <row r="31" spans="18:24" ht="15">
      <c r="R31" s="862" t="s">
        <v>363</v>
      </c>
      <c r="S31" s="854">
        <f aca="true" t="shared" si="9" ref="S31:X31">+S20-S30</f>
        <v>19.701000000000022</v>
      </c>
      <c r="T31" s="854">
        <f t="shared" si="9"/>
        <v>9.779999999999973</v>
      </c>
      <c r="U31" s="854">
        <f t="shared" si="9"/>
        <v>3.2730000000000246</v>
      </c>
      <c r="V31" s="854">
        <f t="shared" si="9"/>
        <v>5.799999999999983</v>
      </c>
      <c r="W31" s="854">
        <f t="shared" si="9"/>
        <v>0.8479999999999999</v>
      </c>
      <c r="X31" s="902">
        <f t="shared" si="9"/>
        <v>3326.350000000006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v>56.27</v>
      </c>
      <c r="N42" s="68">
        <v>22.77</v>
      </c>
      <c r="O42" s="68">
        <v>12.44</v>
      </c>
      <c r="P42" s="68">
        <v>21.06</v>
      </c>
    </row>
    <row r="43" spans="2:16" ht="15">
      <c r="B43" s="68" t="s">
        <v>424</v>
      </c>
      <c r="M43" s="854">
        <f>+N43+O43+P43</f>
        <v>20.5</v>
      </c>
      <c r="N43" s="68">
        <v>11.2</v>
      </c>
      <c r="P43" s="68">
        <v>9.3</v>
      </c>
    </row>
    <row r="44" spans="2:16" ht="15">
      <c r="B44" s="68" t="s">
        <v>0</v>
      </c>
      <c r="M44" s="854">
        <f>+N44+O44+P44</f>
        <v>0.8999999999999999</v>
      </c>
      <c r="N44" s="68">
        <v>0.2</v>
      </c>
      <c r="O44" s="68">
        <v>0.5</v>
      </c>
      <c r="P44" s="68">
        <v>0.2</v>
      </c>
    </row>
    <row r="45" spans="2:32" ht="15">
      <c r="B45" s="68" t="s">
        <v>425</v>
      </c>
      <c r="M45" s="754">
        <f>SUM(N45:P45)</f>
        <v>6.42</v>
      </c>
      <c r="N45" s="26">
        <v>5.32</v>
      </c>
      <c r="O45" s="26">
        <v>1.1</v>
      </c>
      <c r="P45" s="26">
        <v>0</v>
      </c>
      <c r="S45" s="638"/>
      <c r="AF45" s="68"/>
    </row>
    <row r="46" spans="2:32" ht="15">
      <c r="B46" s="68">
        <v>865</v>
      </c>
      <c r="M46" s="863">
        <f>+M42-M43-M44-M45</f>
        <v>28.450000000000003</v>
      </c>
      <c r="N46" s="863">
        <f>+N42-N43-N44-N45</f>
        <v>6.050000000000001</v>
      </c>
      <c r="O46" s="863">
        <f>+O42-O43-O44-O45</f>
        <v>10.84</v>
      </c>
      <c r="P46" s="863">
        <f>+P42-P43-P44-P45</f>
        <v>11.559999999999999</v>
      </c>
      <c r="S46" s="638"/>
      <c r="AF46" s="68"/>
    </row>
    <row r="47" spans="13:32" ht="15">
      <c r="M47" s="863"/>
      <c r="S47" s="638"/>
      <c r="AF47" s="68"/>
    </row>
    <row r="48" spans="19:32" ht="15">
      <c r="S48" s="638"/>
      <c r="AF48" s="68"/>
    </row>
    <row r="49" spans="19:32" ht="15">
      <c r="S49" s="638"/>
      <c r="AF49" s="68"/>
    </row>
    <row r="50" spans="19:32" ht="15">
      <c r="S50" s="638"/>
      <c r="AF50" s="68"/>
    </row>
    <row r="51" spans="19:32" ht="15">
      <c r="S51" s="638"/>
      <c r="AF51" s="68"/>
    </row>
  </sheetData>
  <sheetProtection/>
  <mergeCells count="28">
    <mergeCell ref="A1:AD1"/>
    <mergeCell ref="A2:AD2"/>
    <mergeCell ref="A3:AD3"/>
    <mergeCell ref="A4:A6"/>
    <mergeCell ref="B4:B6"/>
    <mergeCell ref="C4:F4"/>
    <mergeCell ref="G4:L4"/>
    <mergeCell ref="M4:R4"/>
    <mergeCell ref="S4:X4"/>
    <mergeCell ref="Y4:Y6"/>
    <mergeCell ref="AD4:AD6"/>
    <mergeCell ref="AE4:AE6"/>
    <mergeCell ref="AF4:AF6"/>
    <mergeCell ref="C5:C6"/>
    <mergeCell ref="D5:F5"/>
    <mergeCell ref="G5:G6"/>
    <mergeCell ref="H5:K5"/>
    <mergeCell ref="L5:L6"/>
    <mergeCell ref="M5:M6"/>
    <mergeCell ref="N5:Q5"/>
    <mergeCell ref="Z4:AC4"/>
    <mergeCell ref="R5:R6"/>
    <mergeCell ref="S5:S6"/>
    <mergeCell ref="T5:W5"/>
    <mergeCell ref="X5:X6"/>
    <mergeCell ref="A20:B20"/>
    <mergeCell ref="AA5:AC5"/>
    <mergeCell ref="Z5:Z6"/>
  </mergeCells>
  <printOptions/>
  <pageMargins left="0.35625" right="0.2" top="0.5" bottom="0.36" header="0.19" footer="0.31496062992125984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workbookViewId="0" topLeftCell="A13">
      <selection activeCell="M45" sqref="M4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32" width="9.00390625" style="68" customWidth="1"/>
    <col min="33" max="16384" width="9.00390625" style="68" customWidth="1"/>
  </cols>
  <sheetData>
    <row r="1" spans="1:29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</row>
    <row r="2" spans="1:29" s="569" customFormat="1" ht="22.5" customHeight="1">
      <c r="A2" s="948" t="s">
        <v>421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</row>
    <row r="3" spans="1:29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</row>
    <row r="4" spans="1:28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420</v>
      </c>
    </row>
    <row r="5" spans="1:29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40"/>
    </row>
    <row r="6" spans="1:31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45.554</v>
      </c>
      <c r="T9" s="344">
        <v>12.23</v>
      </c>
      <c r="U9" s="514">
        <v>28.05</v>
      </c>
      <c r="V9" s="344">
        <v>4.912</v>
      </c>
      <c r="W9" s="344">
        <v>0.362</v>
      </c>
      <c r="X9" s="827">
        <v>8326.55</v>
      </c>
      <c r="Y9" s="604">
        <f aca="true" t="shared" si="4" ref="Y9:Y19">+S9/M9</f>
        <v>0.691259484066768</v>
      </c>
      <c r="Z9" s="828" t="s">
        <v>413</v>
      </c>
      <c r="AA9" s="756">
        <f>3.34+2.44+8</f>
        <v>13.78</v>
      </c>
      <c r="AB9" s="646">
        <f aca="true" t="shared" si="5" ref="AB9:AB19">+S9+AA9</f>
        <v>59.334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24.96</v>
      </c>
      <c r="T11" s="471">
        <f>0.3+3.13+0.13</f>
        <v>3.5599999999999996</v>
      </c>
      <c r="U11" s="471">
        <f>6.4+2.44+0.5+0.45+0.3</f>
        <v>10.09</v>
      </c>
      <c r="V11" s="471">
        <f>0.49+10.3+0.22+0.3</f>
        <v>11.310000000000002</v>
      </c>
      <c r="W11" s="471"/>
      <c r="X11" s="618">
        <v>2657</v>
      </c>
      <c r="Y11" s="604">
        <f t="shared" si="4"/>
        <v>0.8125</v>
      </c>
      <c r="Z11" s="828" t="s">
        <v>422</v>
      </c>
      <c r="AA11" s="756">
        <f>20.5+7.32</f>
        <v>27.82</v>
      </c>
      <c r="AB11" s="646">
        <f t="shared" si="5"/>
        <v>52.78</v>
      </c>
      <c r="AC11" s="77">
        <v>7.32</v>
      </c>
      <c r="AE11" s="68">
        <v>20.5</v>
      </c>
      <c r="AF11" s="77">
        <f t="shared" si="0"/>
        <v>27.82</v>
      </c>
    </row>
    <row r="12" spans="1:32" ht="25.5">
      <c r="A12" s="691">
        <v>5</v>
      </c>
      <c r="B12" s="692" t="s">
        <v>7</v>
      </c>
      <c r="C12" s="693">
        <v>83.4</v>
      </c>
      <c r="D12" s="694">
        <v>28.9</v>
      </c>
      <c r="E12" s="694">
        <v>45.8</v>
      </c>
      <c r="F12" s="694">
        <v>8.7</v>
      </c>
      <c r="G12" s="695">
        <f t="shared" si="1"/>
        <v>84.40899999999999</v>
      </c>
      <c r="H12" s="695">
        <f>0.04+20.07</f>
        <v>20.11</v>
      </c>
      <c r="I12" s="695">
        <v>54.049</v>
      </c>
      <c r="J12" s="695">
        <v>7.12</v>
      </c>
      <c r="K12" s="696">
        <v>3.13</v>
      </c>
      <c r="L12" s="697">
        <v>11271</v>
      </c>
      <c r="M12" s="695">
        <f t="shared" si="2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801">
        <f t="shared" si="3"/>
        <v>78.63</v>
      </c>
      <c r="T12" s="692">
        <f>18.4+0.12</f>
        <v>18.52</v>
      </c>
      <c r="U12" s="692">
        <v>51.31</v>
      </c>
      <c r="V12" s="692">
        <v>6.86</v>
      </c>
      <c r="W12" s="692">
        <v>1.94</v>
      </c>
      <c r="X12" s="699">
        <v>10715</v>
      </c>
      <c r="Y12" s="700">
        <f t="shared" si="4"/>
        <v>0.9754372906587272</v>
      </c>
      <c r="Z12" s="891" t="s">
        <v>394</v>
      </c>
      <c r="AA12" s="892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102.868</v>
      </c>
      <c r="H17" s="695">
        <v>43.009</v>
      </c>
      <c r="I17" s="695">
        <v>56.729</v>
      </c>
      <c r="J17" s="695">
        <v>3.13</v>
      </c>
      <c r="K17" s="696"/>
      <c r="L17" s="697">
        <v>16012.82</v>
      </c>
      <c r="M17" s="695">
        <f t="shared" si="2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801">
        <f t="shared" si="3"/>
        <v>95.01</v>
      </c>
      <c r="T17" s="692">
        <v>38.78</v>
      </c>
      <c r="U17" s="692">
        <v>54.5</v>
      </c>
      <c r="V17" s="692">
        <v>1.73</v>
      </c>
      <c r="W17" s="692"/>
      <c r="X17" s="699">
        <v>11542.5</v>
      </c>
      <c r="Y17" s="700">
        <f t="shared" si="4"/>
        <v>0.9369822485207101</v>
      </c>
      <c r="Z17" s="891" t="s">
        <v>417</v>
      </c>
      <c r="AA17" s="892">
        <f>13.49+6.95</f>
        <v>20.44</v>
      </c>
      <c r="AB17" s="646">
        <f t="shared" si="5"/>
        <v>115.45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662.016</v>
      </c>
      <c r="T20" s="821">
        <f t="shared" si="7"/>
        <v>150.64700000000002</v>
      </c>
      <c r="U20" s="820">
        <f t="shared" si="7"/>
        <v>379.627</v>
      </c>
      <c r="V20" s="820">
        <f t="shared" si="7"/>
        <v>129.44000000000003</v>
      </c>
      <c r="W20" s="820">
        <f t="shared" si="7"/>
        <v>2.302</v>
      </c>
      <c r="X20" s="822">
        <f t="shared" si="7"/>
        <v>92266.2</v>
      </c>
      <c r="Y20" s="823">
        <f>+S20/G20</f>
        <v>0.8468645023959801</v>
      </c>
      <c r="Z20" s="824" t="str">
        <f>+AA4&amp;AA20&amp;" km"</f>
        <v>Tổng đường dự án và đường khác: 236,21 km</v>
      </c>
      <c r="AA20" s="825">
        <f>+SUM(AA8:AA19)</f>
        <v>236.21</v>
      </c>
      <c r="AB20" s="890">
        <f>SUM(AB8:AB19)</f>
        <v>898.226</v>
      </c>
      <c r="AC20" s="850">
        <f>SUM(AC8:AC19)</f>
        <v>40.63</v>
      </c>
      <c r="AD20" s="850">
        <f>SUM(AD8:AD19)</f>
        <v>34.36</v>
      </c>
      <c r="AE20" s="850">
        <f>SUM(AE8:AE19)</f>
        <v>161.22</v>
      </c>
      <c r="AF20" s="889">
        <f>+AE20+AD20+AC20</f>
        <v>236.20999999999998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161.22000000000003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898,226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9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737,006 km; trong đó: Theo cơ chế hỗ trợ XM: 662,016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161,22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662.016</v>
      </c>
      <c r="T29" s="854">
        <f t="shared" si="8"/>
        <v>150.64700000000002</v>
      </c>
      <c r="U29" s="854">
        <f t="shared" si="8"/>
        <v>379.627</v>
      </c>
      <c r="V29" s="854">
        <f t="shared" si="8"/>
        <v>129.44000000000003</v>
      </c>
      <c r="W29" s="854">
        <f t="shared" si="8"/>
        <v>2.302</v>
      </c>
      <c r="X29" s="854">
        <f t="shared" si="8"/>
        <v>92266.2</v>
      </c>
    </row>
    <row r="30" spans="18:24" ht="15">
      <c r="R30" s="862" t="s">
        <v>362</v>
      </c>
      <c r="S30" s="854">
        <f>+'21.11.2013'!S20</f>
        <v>657.166</v>
      </c>
      <c r="T30" s="854">
        <f>+'21.11.2013'!T20</f>
        <v>149.827</v>
      </c>
      <c r="U30" s="854">
        <f>+'21.11.2013'!U20</f>
        <v>375.897</v>
      </c>
      <c r="V30" s="854">
        <f>+'21.11.2013'!V20</f>
        <v>129.14000000000001</v>
      </c>
      <c r="W30" s="854">
        <f>+'21.11.2013'!W20</f>
        <v>2.302</v>
      </c>
      <c r="X30" s="854">
        <f>+'21.11.2013'!X20</f>
        <v>91121</v>
      </c>
    </row>
    <row r="31" spans="18:24" ht="15">
      <c r="R31" s="862" t="s">
        <v>363</v>
      </c>
      <c r="S31" s="854">
        <f aca="true" t="shared" si="9" ref="S31:X31">+S20-S30</f>
        <v>4.849999999999909</v>
      </c>
      <c r="T31" s="854">
        <f t="shared" si="9"/>
        <v>0.8200000000000216</v>
      </c>
      <c r="U31" s="854">
        <f t="shared" si="9"/>
        <v>3.730000000000018</v>
      </c>
      <c r="V31" s="854">
        <f t="shared" si="9"/>
        <v>0.30000000000001137</v>
      </c>
      <c r="W31" s="854">
        <f t="shared" si="9"/>
        <v>0</v>
      </c>
      <c r="X31" s="854">
        <f t="shared" si="9"/>
        <v>1145.199999999997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2" spans="2:16" ht="15">
      <c r="B42" s="68" t="s">
        <v>423</v>
      </c>
      <c r="M42" s="854">
        <v>56.27</v>
      </c>
      <c r="N42" s="68">
        <v>22.77</v>
      </c>
      <c r="O42" s="68">
        <v>12.44</v>
      </c>
      <c r="P42" s="68">
        <v>21.06</v>
      </c>
    </row>
    <row r="43" spans="2:16" ht="15">
      <c r="B43" s="68" t="s">
        <v>424</v>
      </c>
      <c r="M43" s="854">
        <f>11.2+9.3</f>
        <v>20.5</v>
      </c>
      <c r="P43" s="68">
        <v>9.3</v>
      </c>
    </row>
    <row r="44" spans="2:15" ht="15">
      <c r="B44" s="68" t="s">
        <v>0</v>
      </c>
      <c r="M44" s="854">
        <f>+N44+O44+P44</f>
        <v>0.7</v>
      </c>
      <c r="N44" s="68">
        <v>0.2</v>
      </c>
      <c r="O44" s="68">
        <v>0.5</v>
      </c>
    </row>
    <row r="45" spans="2:28" ht="15">
      <c r="B45" s="68" t="s">
        <v>425</v>
      </c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A4:AA6"/>
    <mergeCell ref="AB4:AB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Z4:Z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workbookViewId="0" topLeftCell="M10">
      <selection activeCell="AC23" sqref="AC23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32" width="9.00390625" style="68" customWidth="1"/>
    <col min="33" max="16384" width="9.00390625" style="68" customWidth="1"/>
  </cols>
  <sheetData>
    <row r="1" spans="1:29" ht="30" customHeight="1">
      <c r="A1" s="947" t="s">
        <v>36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832"/>
      <c r="AB1" s="832"/>
      <c r="AC1" s="833"/>
    </row>
    <row r="2" spans="1:29" s="569" customFormat="1" ht="22.5" customHeight="1">
      <c r="A2" s="948" t="s">
        <v>409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834"/>
      <c r="AB2" s="834"/>
      <c r="AC2" s="835"/>
    </row>
    <row r="3" spans="1:29" s="569" customFormat="1" ht="15">
      <c r="A3" s="949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836"/>
      <c r="AB3" s="836"/>
      <c r="AC3" s="835"/>
    </row>
    <row r="4" spans="1:28" s="838" customFormat="1" ht="46.5" customHeight="1">
      <c r="A4" s="950" t="s">
        <v>0</v>
      </c>
      <c r="B4" s="951" t="s">
        <v>1</v>
      </c>
      <c r="C4" s="952" t="s">
        <v>25</v>
      </c>
      <c r="D4" s="952"/>
      <c r="E4" s="952"/>
      <c r="F4" s="952"/>
      <c r="G4" s="953" t="s">
        <v>378</v>
      </c>
      <c r="H4" s="954"/>
      <c r="I4" s="954"/>
      <c r="J4" s="954"/>
      <c r="K4" s="954"/>
      <c r="L4" s="955"/>
      <c r="M4" s="953" t="s">
        <v>399</v>
      </c>
      <c r="N4" s="954"/>
      <c r="O4" s="954"/>
      <c r="P4" s="954"/>
      <c r="Q4" s="954"/>
      <c r="R4" s="955"/>
      <c r="S4" s="956" t="s">
        <v>307</v>
      </c>
      <c r="T4" s="957"/>
      <c r="U4" s="957"/>
      <c r="V4" s="957"/>
      <c r="W4" s="957"/>
      <c r="X4" s="958"/>
      <c r="Y4" s="951" t="s">
        <v>43</v>
      </c>
      <c r="Z4" s="950" t="s">
        <v>14</v>
      </c>
      <c r="AA4" s="951" t="s">
        <v>329</v>
      </c>
      <c r="AB4" s="959" t="s">
        <v>420</v>
      </c>
    </row>
    <row r="5" spans="1:29" s="838" customFormat="1" ht="14.25" customHeight="1">
      <c r="A5" s="950"/>
      <c r="B5" s="951"/>
      <c r="C5" s="952" t="s">
        <v>20</v>
      </c>
      <c r="D5" s="960" t="s">
        <v>21</v>
      </c>
      <c r="E5" s="960"/>
      <c r="F5" s="960"/>
      <c r="G5" s="951" t="s">
        <v>38</v>
      </c>
      <c r="H5" s="961" t="s">
        <v>21</v>
      </c>
      <c r="I5" s="961"/>
      <c r="J5" s="961"/>
      <c r="K5" s="961"/>
      <c r="L5" s="962" t="s">
        <v>202</v>
      </c>
      <c r="M5" s="951" t="s">
        <v>38</v>
      </c>
      <c r="N5" s="961" t="s">
        <v>21</v>
      </c>
      <c r="O5" s="961"/>
      <c r="P5" s="961"/>
      <c r="Q5" s="961"/>
      <c r="R5" s="962" t="s">
        <v>202</v>
      </c>
      <c r="S5" s="951" t="s">
        <v>38</v>
      </c>
      <c r="T5" s="969" t="s">
        <v>21</v>
      </c>
      <c r="U5" s="970"/>
      <c r="V5" s="970"/>
      <c r="W5" s="971"/>
      <c r="X5" s="962" t="s">
        <v>37</v>
      </c>
      <c r="Y5" s="951"/>
      <c r="Z5" s="950"/>
      <c r="AA5" s="951"/>
      <c r="AB5" s="959"/>
      <c r="AC5" s="840"/>
    </row>
    <row r="6" spans="1:31" s="838" customFormat="1" ht="76.5">
      <c r="A6" s="950"/>
      <c r="B6" s="951"/>
      <c r="C6" s="952"/>
      <c r="D6" s="841" t="s">
        <v>17</v>
      </c>
      <c r="E6" s="841" t="s">
        <v>18</v>
      </c>
      <c r="F6" s="841" t="s">
        <v>19</v>
      </c>
      <c r="G6" s="951"/>
      <c r="H6" s="842" t="s">
        <v>39</v>
      </c>
      <c r="I6" s="842" t="s">
        <v>40</v>
      </c>
      <c r="J6" s="842" t="s">
        <v>41</v>
      </c>
      <c r="K6" s="842" t="s">
        <v>42</v>
      </c>
      <c r="L6" s="963"/>
      <c r="M6" s="951"/>
      <c r="N6" s="842" t="s">
        <v>39</v>
      </c>
      <c r="O6" s="842" t="s">
        <v>40</v>
      </c>
      <c r="P6" s="842" t="s">
        <v>41</v>
      </c>
      <c r="Q6" s="842" t="s">
        <v>42</v>
      </c>
      <c r="R6" s="963"/>
      <c r="S6" s="951"/>
      <c r="T6" s="842" t="s">
        <v>39</v>
      </c>
      <c r="U6" s="842" t="s">
        <v>40</v>
      </c>
      <c r="V6" s="842" t="s">
        <v>41</v>
      </c>
      <c r="W6" s="842" t="s">
        <v>42</v>
      </c>
      <c r="X6" s="963"/>
      <c r="Y6" s="951"/>
      <c r="Z6" s="950"/>
      <c r="AA6" s="951"/>
      <c r="AB6" s="959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42.584</v>
      </c>
      <c r="T9" s="344">
        <v>11.49</v>
      </c>
      <c r="U9" s="514">
        <v>25.82</v>
      </c>
      <c r="V9" s="344">
        <v>4.912</v>
      </c>
      <c r="W9" s="344">
        <v>0.362</v>
      </c>
      <c r="X9" s="827">
        <v>7782.35</v>
      </c>
      <c r="Y9" s="604">
        <f aca="true" t="shared" si="4" ref="Y9:Y19">+S9/M9</f>
        <v>0.6461911987860396</v>
      </c>
      <c r="Z9" s="828" t="s">
        <v>413</v>
      </c>
      <c r="AA9" s="756">
        <f>3.34+2.44+8</f>
        <v>13.78</v>
      </c>
      <c r="AB9" s="646">
        <f aca="true" t="shared" si="5" ref="AB9:AB19">+S9+AA9</f>
        <v>56.364000000000004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24.36</v>
      </c>
      <c r="T11" s="471">
        <f>0.3+3.13+0.13</f>
        <v>3.5599999999999996</v>
      </c>
      <c r="U11" s="471">
        <f>6.4+2.44+0.5+0.45</f>
        <v>9.79</v>
      </c>
      <c r="V11" s="471">
        <f>0.49+10.3+0.22</f>
        <v>11.010000000000002</v>
      </c>
      <c r="W11" s="471"/>
      <c r="X11" s="618">
        <f>76+1915+114</f>
        <v>2105</v>
      </c>
      <c r="Y11" s="604">
        <f t="shared" si="4"/>
        <v>0.7929687499999999</v>
      </c>
      <c r="Z11" s="828" t="s">
        <v>414</v>
      </c>
      <c r="AA11" s="756">
        <f>14.1+7.32</f>
        <v>21.42</v>
      </c>
      <c r="AB11" s="646">
        <f t="shared" si="5"/>
        <v>45.78</v>
      </c>
      <c r="AC11" s="77">
        <v>7.32</v>
      </c>
      <c r="AE11" s="68">
        <v>14.1</v>
      </c>
      <c r="AF11" s="77">
        <f t="shared" si="0"/>
        <v>21.42</v>
      </c>
    </row>
    <row r="12" spans="1:3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2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3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4"/>
        <v>0.9754372906587272</v>
      </c>
      <c r="Z12" s="828" t="s">
        <v>394</v>
      </c>
      <c r="AA12" s="756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2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3"/>
        <v>93.73</v>
      </c>
      <c r="T17" s="471">
        <v>38.7</v>
      </c>
      <c r="U17" s="471">
        <v>53.3</v>
      </c>
      <c r="V17" s="471">
        <v>1.73</v>
      </c>
      <c r="W17" s="471"/>
      <c r="X17" s="618">
        <v>11542.5</v>
      </c>
      <c r="Y17" s="604">
        <f t="shared" si="4"/>
        <v>0.9243589743589743</v>
      </c>
      <c r="Z17" s="828" t="s">
        <v>417</v>
      </c>
      <c r="AA17" s="756">
        <f>13.49+6.95</f>
        <v>20.44</v>
      </c>
      <c r="AB17" s="646">
        <f t="shared" si="5"/>
        <v>114.17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67" t="s">
        <v>23</v>
      </c>
      <c r="B20" s="968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657.166</v>
      </c>
      <c r="T20" s="821">
        <f t="shared" si="7"/>
        <v>149.827</v>
      </c>
      <c r="U20" s="820">
        <f t="shared" si="7"/>
        <v>375.897</v>
      </c>
      <c r="V20" s="820">
        <f t="shared" si="7"/>
        <v>129.14000000000001</v>
      </c>
      <c r="W20" s="820">
        <f t="shared" si="7"/>
        <v>2.302</v>
      </c>
      <c r="X20" s="822">
        <f t="shared" si="7"/>
        <v>91121</v>
      </c>
      <c r="Y20" s="823">
        <f>+S20/G20</f>
        <v>0.8406602825030766</v>
      </c>
      <c r="Z20" s="824" t="str">
        <f>+AA4&amp;AA20&amp;" km"</f>
        <v>Tổng đường dự án và đường khác: 229,81 km</v>
      </c>
      <c r="AA20" s="825">
        <f>+SUM(AA8:AA19)</f>
        <v>229.81</v>
      </c>
      <c r="AB20" s="890">
        <f>SUM(AB8:AB19)</f>
        <v>886.9759999999999</v>
      </c>
      <c r="AC20" s="850">
        <f>SUM(AC8:AC19)</f>
        <v>40.63</v>
      </c>
      <c r="AD20" s="850">
        <f>SUM(AD8:AD19)</f>
        <v>34.36</v>
      </c>
      <c r="AE20" s="850">
        <f>SUM(AE8:AE19)</f>
        <v>154.82000000000002</v>
      </c>
      <c r="AF20" s="889">
        <f>+AE20+AD20+AC20</f>
        <v>229.81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154.82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886,976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5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732,156 km; trong đó: Theo cơ chế hỗ trợ XM: 657,166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154,82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T26" s="68">
        <f>732.156+154.82</f>
        <v>886.9759999999999</v>
      </c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657.166</v>
      </c>
      <c r="T29" s="854">
        <f t="shared" si="8"/>
        <v>149.827</v>
      </c>
      <c r="U29" s="854">
        <f t="shared" si="8"/>
        <v>375.897</v>
      </c>
      <c r="V29" s="854">
        <f t="shared" si="8"/>
        <v>129.14000000000001</v>
      </c>
      <c r="W29" s="854">
        <f t="shared" si="8"/>
        <v>2.302</v>
      </c>
      <c r="X29" s="854">
        <f t="shared" si="8"/>
        <v>91121</v>
      </c>
    </row>
    <row r="30" spans="18:24" ht="15">
      <c r="R30" s="862" t="s">
        <v>362</v>
      </c>
      <c r="S30" s="854">
        <f>+'14.11.2013'!S20</f>
        <v>644.057</v>
      </c>
      <c r="T30" s="854">
        <f>+'14.11.2013'!T20</f>
        <v>144.97700000000003</v>
      </c>
      <c r="U30" s="854">
        <f>+'14.11.2013'!U20</f>
        <v>369.10200000000003</v>
      </c>
      <c r="V30" s="854">
        <f>+'14.11.2013'!V20</f>
        <v>128.038</v>
      </c>
      <c r="W30" s="854">
        <f>+'14.11.2013'!W20</f>
        <v>1.94</v>
      </c>
      <c r="X30" s="854">
        <f>+'14.11.2013'!X20</f>
        <v>89626.6</v>
      </c>
    </row>
    <row r="31" spans="18:24" ht="15">
      <c r="R31" s="862" t="s">
        <v>363</v>
      </c>
      <c r="S31" s="854">
        <f aca="true" t="shared" si="9" ref="S31:X31">+S20-S30</f>
        <v>13.109000000000037</v>
      </c>
      <c r="T31" s="854">
        <f t="shared" si="9"/>
        <v>4.849999999999966</v>
      </c>
      <c r="U31" s="854">
        <f t="shared" si="9"/>
        <v>6.794999999999959</v>
      </c>
      <c r="V31" s="854">
        <f t="shared" si="9"/>
        <v>1.1020000000000039</v>
      </c>
      <c r="W31" s="854">
        <f t="shared" si="9"/>
        <v>0.3620000000000001</v>
      </c>
      <c r="X31" s="854">
        <f t="shared" si="9"/>
        <v>1494.3999999999942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A4:AA6"/>
    <mergeCell ref="AB4:AB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Z4:Z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2014-01-03T01:02:04Z</cp:lastPrinted>
  <dcterms:created xsi:type="dcterms:W3CDTF">2013-04-24T06:59:08Z</dcterms:created>
  <dcterms:modified xsi:type="dcterms:W3CDTF">2014-01-03T01:09:19Z</dcterms:modified>
  <cp:category/>
  <cp:version/>
  <cp:contentType/>
  <cp:contentStatus/>
</cp:coreProperties>
</file>