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worksheets/sheet26.xml" ContentType="application/vnd.openxmlformats-officedocument.spreadsheetml.worksheet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drawings/drawing4.xml" ContentType="application/vnd.openxmlformats-officedocument.drawing+xml"/>
  <Override PartName="/xl/worksheets/sheet28.xml" ContentType="application/vnd.openxmlformats-officedocument.spreadsheetml.worksheet+xml"/>
  <Override PartName="/xl/drawings/drawing5.xml" ContentType="application/vnd.openxmlformats-officedocument.drawing+xml"/>
  <Override PartName="/xl/worksheets/sheet29.xml" ContentType="application/vnd.openxmlformats-officedocument.spreadsheetml.worksheet+xml"/>
  <Override PartName="/xl/drawings/drawing6.xml" ContentType="application/vnd.openxmlformats-officedocument.drawing+xml"/>
  <Override PartName="/xl/worksheets/sheet30.xml" ContentType="application/vnd.openxmlformats-officedocument.spreadsheetml.worksheet+xml"/>
  <Override PartName="/xl/drawings/drawing7.xml" ContentType="application/vnd.openxmlformats-officedocument.drawing+xml"/>
  <Override PartName="/xl/worksheets/sheet31.xml" ContentType="application/vnd.openxmlformats-officedocument.spreadsheetml.worksheet+xml"/>
  <Override PartName="/xl/drawings/drawing8.xml" ContentType="application/vnd.openxmlformats-officedocument.drawing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worksheets/sheet33.xml" ContentType="application/vnd.openxmlformats-officedocument.spreadsheetml.worksheet+xml"/>
  <Override PartName="/xl/drawings/drawing10.xml" ContentType="application/vnd.openxmlformats-officedocument.drawing+xml"/>
  <Override PartName="/xl/worksheets/sheet34.xml" ContentType="application/vnd.openxmlformats-officedocument.spreadsheetml.worksheet+xml"/>
  <Override PartName="/xl/drawings/drawing11.xml" ContentType="application/vnd.openxmlformats-officedocument.drawing+xml"/>
  <Override PartName="/xl/worksheets/sheet3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40" firstSheet="1" activeTab="1"/>
  </bookViews>
  <sheets>
    <sheet name="Dang Ky lam GTNT" sheetId="1" state="hidden" r:id="rId1"/>
    <sheet name="17.10.2013" sheetId="2" r:id="rId2"/>
    <sheet name="10.10.2013" sheetId="3" r:id="rId3"/>
    <sheet name="03.10.2013" sheetId="4" state="hidden" r:id="rId4"/>
    <sheet name="26.9.2013" sheetId="5" state="hidden" r:id="rId5"/>
    <sheet name="19.9.2013 (2)" sheetId="6" state="hidden" r:id="rId6"/>
    <sheet name="19.9.2013" sheetId="7" state="hidden" r:id="rId7"/>
    <sheet name="12.9.2013" sheetId="8" state="hidden" r:id="rId8"/>
    <sheet name="05.9.2013" sheetId="9" state="hidden" r:id="rId9"/>
    <sheet name="29.8.2013 (2)" sheetId="10" state="hidden" r:id="rId10"/>
    <sheet name="29.8.2013" sheetId="11" state="hidden" r:id="rId11"/>
    <sheet name="22.8.2013" sheetId="12" state="hidden" r:id="rId12"/>
    <sheet name="15.8.2013" sheetId="13" state="hidden" r:id="rId13"/>
    <sheet name="08.8.13" sheetId="14" state="hidden" r:id="rId14"/>
    <sheet name="01.8.2013" sheetId="15" state="hidden" r:id="rId15"/>
    <sheet name="31.07" sheetId="16" state="hidden" r:id="rId16"/>
    <sheet name="25.7.2013" sheetId="17" state="hidden" r:id="rId17"/>
    <sheet name="18.7.2013" sheetId="18" state="hidden" r:id="rId18"/>
    <sheet name="11.7.2013" sheetId="19" state="hidden" r:id="rId19"/>
    <sheet name="04.7.2013" sheetId="20" state="hidden" r:id="rId20"/>
    <sheet name="5 thang" sheetId="21" state="hidden" r:id="rId21"/>
    <sheet name="xx" sheetId="22" state="hidden" r:id="rId22"/>
    <sheet name="22.6.2013" sheetId="23" state="hidden" r:id="rId23"/>
    <sheet name="LH" sheetId="24" state="hidden" r:id="rId24"/>
    <sheet name="HS" sheetId="25" state="hidden" r:id="rId25"/>
    <sheet name="VQ" sheetId="26" state="hidden" r:id="rId26"/>
    <sheet name="DT" sheetId="27" state="hidden" r:id="rId27"/>
    <sheet name="HK" sheetId="28" state="hidden" r:id="rId28"/>
    <sheet name="CL" sheetId="29" state="hidden" r:id="rId29"/>
    <sheet name="CX" sheetId="30" state="hidden" r:id="rId30"/>
    <sheet name="TH" sheetId="31" state="hidden" r:id="rId31"/>
    <sheet name="NX" sheetId="32" state="hidden" r:id="rId32"/>
    <sheet name="KA" sheetId="33" state="hidden" r:id="rId33"/>
    <sheet name="TXHL" sheetId="34" state="hidden" r:id="rId34"/>
    <sheet name="TPHT" sheetId="35" state="hidden" r:id="rId35"/>
  </sheets>
  <definedNames>
    <definedName name="_xlnm.Print_Area" localSheetId="14">'01.8.2013'!$A$1:$AG$21</definedName>
    <definedName name="_xlnm.Print_Area" localSheetId="3">'03.10.2013'!$A$1:$T$21</definedName>
    <definedName name="_xlnm.Print_Area" localSheetId="19">'04.7.2013'!$A$1:$Z$25</definedName>
    <definedName name="_xlnm.Print_Area" localSheetId="8">'05.9.2013'!$A$1:$T$21</definedName>
    <definedName name="_xlnm.Print_Area" localSheetId="13">'08.8.13'!$A$1:$U$21</definedName>
    <definedName name="_xlnm.Print_Area" localSheetId="2">'10.10.2013'!$A$1:$T$21</definedName>
    <definedName name="_xlnm.Print_Area" localSheetId="18">'11.7.2013'!$A$1:$Z$25</definedName>
    <definedName name="_xlnm.Print_Area" localSheetId="7">'12.9.2013'!$A$1:$T$21</definedName>
    <definedName name="_xlnm.Print_Area" localSheetId="12">'15.8.2013'!$A$1:$T$21</definedName>
    <definedName name="_xlnm.Print_Area" localSheetId="1">'17.10.2013'!$A$1:$T$21</definedName>
    <definedName name="_xlnm.Print_Area" localSheetId="17">'18.7.2013'!$A$1:$Z$25</definedName>
    <definedName name="_xlnm.Print_Area" localSheetId="6">'19.9.2013'!$A$1:$T$21</definedName>
    <definedName name="_xlnm.Print_Area" localSheetId="5">'19.9.2013 (2)'!$A$1:$T$21</definedName>
    <definedName name="_xlnm.Print_Area" localSheetId="11">'22.8.2013'!$A$1:$T$21</definedName>
    <definedName name="_xlnm.Print_Area" localSheetId="16">'25.7.2013'!$A$1:$Z$25</definedName>
    <definedName name="_xlnm.Print_Area" localSheetId="4">'26.9.2013'!$A$1:$T$21</definedName>
    <definedName name="_xlnm.Print_Area" localSheetId="10">'29.8.2013'!$A$1:$T$21</definedName>
    <definedName name="_xlnm.Print_Area" localSheetId="9">'29.8.2013 (2)'!$A$1:$T$21</definedName>
    <definedName name="_xlnm.Print_Area" localSheetId="15">'31.07'!$A$1:$AF$21</definedName>
    <definedName name="_xlnm.Print_Area" localSheetId="20">'5 thang'!$A$1:$Z$21</definedName>
    <definedName name="_xlnm.Print_Area" localSheetId="0">'Dang Ky lam GTNT'!$A$1:$Q$19</definedName>
  </definedNames>
  <calcPr fullCalcOnLoad="1"/>
</workbook>
</file>

<file path=xl/sharedStrings.xml><?xml version="1.0" encoding="utf-8"?>
<sst xmlns="http://schemas.openxmlformats.org/spreadsheetml/2006/main" count="2047" uniqueCount="391">
  <si>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</si>
  <si>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</si>
  <si>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</si>
  <si>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</si>
  <si>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</si>
  <si>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</si>
  <si>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</si>
  <si>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</si>
  <si>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</si>
  <si>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</si>
  <si>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</si>
  <si>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</si>
  <si>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</si>
  <si>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</si>
  <si>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</si>
  <si>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</si>
  <si>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</si>
  <si>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</si>
  <si>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</si>
  <si>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</si>
  <si>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</si>
  <si>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</si>
  <si>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</si>
  <si>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</si>
  <si>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</si>
  <si>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</si>
  <si>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</si>
  <si>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</si>
  <si>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</si>
  <si>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</si>
  <si>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</si>
  <si>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</si>
  <si>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</si>
  <si>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</si>
  <si>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</si>
  <si>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</si>
  <si>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</si>
  <si>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</si>
  <si>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</si>
  <si>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</si>
  <si>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</si>
  <si>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</si>
  <si>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</si>
  <si>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</si>
  <si>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</si>
  <si>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</si>
  <si>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</si>
  <si>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</si>
  <si>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</si>
  <si>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</si>
  <si>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</si>
  <si>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</si>
  <si>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</si>
  <si>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</si>
  <si>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</si>
  <si>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</si>
  <si>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</si>
  <si>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</si>
  <si>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</si>
  <si>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</si>
  <si>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</si>
  <si>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</si>
  <si>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</si>
  <si>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</si>
  <si>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</si>
  <si>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</si>
  <si>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</si>
  <si>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</si>
  <si>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</si>
  <si>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</si>
  <si>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</si>
  <si>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</si>
  <si>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</si>
  <si>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</si>
  <si>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</si>
  <si>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</si>
  <si>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</si>
  <si>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</si>
  <si>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</si>
  <si>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</si>
  <si>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</si>
  <si>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</si>
  <si>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</si>
  <si>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</si>
  <si>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</si>
  <si>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</si>
  <si>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</si>
  <si>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</si>
  <si>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</si>
  <si>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</si>
  <si>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</si>
  <si>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</si>
  <si>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</si>
  <si>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</si>
  <si>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</si>
  <si>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</si>
  <si>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</si>
  <si>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</si>
  <si>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</si>
  <si>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</si>
  <si>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</si>
  <si>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</si>
  <si>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</si>
  <si>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</si>
  <si>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</si>
  <si>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</si>
  <si>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</si>
  <si>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</si>
  <si>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</si>
  <si>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</si>
  <si>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</si>
  <si>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</si>
  <si>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</si>
  <si>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</si>
  <si>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</si>
  <si>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</si>
  <si>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</si>
  <si>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</si>
  <si>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</si>
  <si>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</si>
  <si>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</si>
  <si>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</si>
  <si>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</si>
  <si>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</si>
  <si>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</si>
  <si>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</si>
  <si>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</si>
  <si>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</si>
  <si>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</si>
  <si>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</si>
  <si>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</si>
  <si>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</si>
  <si>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</si>
  <si>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</si>
  <si>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</si>
  <si>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</si>
  <si>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</si>
  <si>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</si>
  <si>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</si>
  <si>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</si>
  <si>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</si>
  <si>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</si>
  <si>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</si>
  <si>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</si>
  <si>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</si>
  <si>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</si>
  <si>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</si>
  <si>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</si>
  <si>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</si>
  <si>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</si>
  <si>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</si>
  <si>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</si>
  <si>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</si>
  <si>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</si>
  <si>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</si>
  <si>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</si>
  <si>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</si>
  <si>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</si>
  <si>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</si>
  <si>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</si>
  <si>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</si>
  <si>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</si>
  <si>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</si>
  <si>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</si>
  <si>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</si>
  <si>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</si>
  <si>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</si>
  <si>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</si>
  <si>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</si>
  <si>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</si>
  <si>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</si>
  <si>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</si>
  <si>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</si>
  <si>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</si>
  <si>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</si>
  <si>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</si>
  <si>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</si>
  <si>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</si>
  <si>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</si>
  <si>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</si>
  <si>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</si>
  <si>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</si>
  <si>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</si>
  <si>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</si>
  <si>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</si>
  <si>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</si>
  <si>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</si>
  <si>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</si>
  <si>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</si>
  <si>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</si>
  <si>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</si>
  <si>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</si>
  <si>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</si>
  <si>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</si>
  <si>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</si>
  <si>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</si>
  <si>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</si>
  <si>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</si>
  <si>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</si>
  <si>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</si>
  <si>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</si>
  <si>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</si>
  <si>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</si>
  <si>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</si>
  <si>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</si>
  <si>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</si>
  <si>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</si>
  <si>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</si>
  <si>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</si>
  <si>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</si>
  <si>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</si>
  <si>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</si>
  <si>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</si>
  <si>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</si>
  <si>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</si>
  <si>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</si>
  <si>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</si>
  <si>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</si>
  <si>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</si>
  <si>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</si>
  <si>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</si>
  <si>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</si>
  <si>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</si>
  <si>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</si>
  <si>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</si>
  <si>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</si>
  <si>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</si>
  <si>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</si>
  <si>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</si>
  <si>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</si>
  <si>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</si>
  <si>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</si>
  <si>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</si>
  <si>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</si>
  <si>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</si>
  <si>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</si>
  <si>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</si>
  <si>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</si>
  <si>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</si>
  <si>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</si>
  <si>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</si>
  <si>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</si>
  <si>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</si>
  <si>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</si>
  <si>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</si>
  <si>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</si>
  <si>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</si>
  <si>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</si>
  <si>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</si>
  <si>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</si>
  <si>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</si>
  <si>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</si>
  <si>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</si>
  <si>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</si>
  <si>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</si>
  <si>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</si>
  <si>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</si>
  <si>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</si>
  <si>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</si>
  <si>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</si>
  <si>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</si>
  <si>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</si>
  <si>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</si>
  <si>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</si>
  <si>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</si>
  <si>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</si>
  <si>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</si>
  <si>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</si>
  <si>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</si>
  <si>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</si>
  <si>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</si>
  <si>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</si>
  <si>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</si>
  <si>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</si>
  <si>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</si>
  <si>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</si>
  <si>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</si>
  <si>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</si>
  <si>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</si>
  <si>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</si>
  <si>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</si>
  <si>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</si>
  <si>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</si>
  <si>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</si>
  <si>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</si>
  <si>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</si>
  <si>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</si>
  <si>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</si>
  <si>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</si>
  <si>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</si>
  <si>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</si>
  <si>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</si>
  <si>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</si>
  <si>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</si>
  <si>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</si>
  <si>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</si>
  <si>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</si>
  <si>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</si>
  <si>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</si>
  <si>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</si>
  <si>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</si>
  <si>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</si>
  <si>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</si>
  <si>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</si>
  <si>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</si>
  <si>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</si>
  <si>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</si>
  <si>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</si>
  <si>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</si>
  <si>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</si>
  <si>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</si>
  <si>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</si>
  <si>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</si>
  <si>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</si>
  <si>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</si>
  <si>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</si>
  <si>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</si>
  <si>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</si>
  <si>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</si>
  <si>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</si>
  <si>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</si>
  <si>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</si>
  <si>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</si>
  <si>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</si>
  <si>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</si>
  <si>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</si>
  <si>
    <t>ĐẾN NGÀY 25 THÁNG 7 NĂM 2013</t>
  </si>
  <si>
    <t>Đường dự án và đường khác
(km)</t>
  </si>
  <si>
    <t>Chưa kể 2,25km đường Thị trấn không được hỗ trợ XM</t>
  </si>
  <si>
    <t xml:space="preserve">Tổng đường dự án và đường khác: </t>
  </si>
  <si>
    <t>ĐẾN NGÀY 08 THÁNG 8 NĂM 2013</t>
  </si>
  <si>
    <t>ĐẾN NGÀY 15 THÁNG 8 NĂM 2013</t>
  </si>
  <si>
    <t>ĐẾN NGÀY 31 THÁNG 7 NĂM 2013</t>
  </si>
  <si>
    <t xml:space="preserve">Đường dự án và đường khác: </t>
  </si>
  <si>
    <t>Chưa kể 2,77km đường BTXM các phường khác làm (không được hỗ trợ xi măng)</t>
  </si>
  <si>
    <t>- Trong đó 3,6km làm trước khi có KH hỗ trợ XM của tỉnh
- Chưa kể 0,96km đường Thị trấn (không được hỗ trợ XM)</t>
  </si>
  <si>
    <t>- Chưa kể 2,44km làm trước khi có KH hỗ trợ XM của tỉnh
- Chưa kể 1,8km đường Thị trấn không được hỗ trợ XM</t>
  </si>
  <si>
    <t>Chưa kể 0,5km đường Thị trấn (không được hỗ trợ XM)</t>
  </si>
  <si>
    <t>Chưa kể 2,25km đường Thị trấn (không được hỗ trợ XM) và 14,46km đường BTXM làm trước khi có KH của tỉnh</t>
  </si>
  <si>
    <t>- Trong đó 3,6km làm trước khi có KH hỗ trợ XM của tỉnh
- Chưa kể 1,2km đường Thị trấn (không được hỗ trợ XM)</t>
  </si>
  <si>
    <t>Chưa kể 26,6 km đường nhựa, BTXM từ các dự án và 7,1km đường BTXM Thị trấn Thạch Hà xây dựng được</t>
  </si>
  <si>
    <t>Chưa kể 3,02km đường BTXM các phường khác làm (không được hỗ trợ xi măng)</t>
  </si>
  <si>
    <t>ĐẾN NGÀY 22 THÁNG 8 NĂM 2013</t>
  </si>
  <si>
    <t>Chưa kể 2,44km làm trước khi có KH hỗ trợ XM của tỉnh và 1,8km đường Thị trấn không được hỗ trợ XM</t>
  </si>
  <si>
    <t>Chưa kể 1,3 km đường BTXM từ dự án và 1km xây dựng trước khi có KH hỗ trợ của tỉnh</t>
  </si>
  <si>
    <t>Chưa kể 3,39km đường BTXM các phường khác làm (không được hỗ trợ xi măng)</t>
  </si>
  <si>
    <t>Chưa kể 12 km đường nhựa, BTXM từ các dự án và 6,95km đường BTXM làm trước khi có KH hỗ trợ của tỉnh</t>
  </si>
  <si>
    <t>- Trong đó 4,31km làm trước khi có KH hỗ trợ XM của tỉnh
- Chưa kể 1,2km đường Thị trấn (không được hỗ trợ XM)</t>
  </si>
  <si>
    <t>ĐẾN NGÀY 29 THÁNG 8 NĂM 2013</t>
  </si>
  <si>
    <t>- Trong đó 6,42km làm trước khi có KH hỗ trợ XM của tỉnh;
- Chưa kể 10,27km đường BTXM từ các dự án</t>
  </si>
  <si>
    <t>Chưa kể 26,6 km đường nhựa, BTXM từ các dự án và 7,2km đường BTXM Thị trấn Thạch Hà xây dựng được</t>
  </si>
  <si>
    <t>- Trong đó 1,7km làm trước khi có KH hỗ trợ XM của tỉnh;
- Chưa kể 12 km đường nhựa, BTXM từ các dự án và 6,95km đường BTXM làm trước khi có KH hỗ trợ của tỉnh không đăng ký vào KH</t>
  </si>
  <si>
    <t>tổng</t>
  </si>
  <si>
    <t>dự án</t>
  </si>
  <si>
    <t>làm trước</t>
  </si>
  <si>
    <t>869+ trước</t>
  </si>
  <si>
    <t>ĐẾN NGÀY 05 THÁNG 9 NĂM 2013</t>
  </si>
  <si>
    <t>Chưa kể 0,8km đường Thị trấn (không được hỗ trợ XM)</t>
  </si>
  <si>
    <t>- Trong đó 1,7km làm trước khi có KH hỗ trợ XM của tỉnh;
- Chưa kể 12 km đường nhựa, BTXM từ các dự án và 6,95km đường BTXM làm trước khi có KH hỗ trợ của tỉnh</t>
  </si>
  <si>
    <t>Chưa kể 14,46km đường BTXM làm trước khi có KH của tỉnh và 2,25km đường Thị trấn (không được hỗ trợ XM)</t>
  </si>
  <si>
    <t>Chưa kể 26,6 km đường nhựa, BTXM từ các dự án và 7,2km đường BTXM Thị trấn (không được hỗ trợ XM)</t>
  </si>
  <si>
    <t>Tuần này</t>
  </si>
  <si>
    <t>Tuần trước</t>
  </si>
  <si>
    <t>Tăng</t>
  </si>
  <si>
    <t>Chưa kể 3,41km đường BTXM các phường khác làm (không được hỗ trợ xi măng)</t>
  </si>
  <si>
    <t>Chưa kể 14,46km đường BTXM làm trước khi có KH của tỉnh và 4km đường Thị trấn (không được hỗ trợ XM)</t>
  </si>
  <si>
    <t>- Trong đó 4,31km làm trước khi có KH hỗ trợ XM của tỉnh
- Chưa kể 1,3km đường Thị trấn (không được hỗ trợ XM)</t>
  </si>
  <si>
    <t>ĐẾN NGÀY 12 THÁNG 9 NĂM 2013</t>
  </si>
  <si>
    <t>ĐẾN NGÀY 19 THÁNG 9 NĂM 2013</t>
  </si>
  <si>
    <t>- Trong đó 4,31km làm trước khi có KH hỗ trợ XM của tỉnh
- Chưa kể 1,44km đường Thị trấn (không được hỗ trợ XM)</t>
  </si>
  <si>
    <t>ĐẾN NGÀY 26 THÁNG 9 NĂM 2013</t>
  </si>
  <si>
    <t>- Trong đó 4,31km làm trước khi có KH hỗ trợ XM của tỉnh
- Chưa kể 1,6km đường Thị trấn (không được hỗ trợ XM)</t>
  </si>
  <si>
    <t>ĐẾN NGÀY 03 THÁNG 10 NĂM 2013</t>
  </si>
  <si>
    <t>ĐẾN NGÀY 10 THÁNG 10 NĂM 2013</t>
  </si>
  <si>
    <t>Khối lượng đăng ký xây dựng đường GTNT năm 2013 của huyện có cam kết bố trí vốn (điều chỉnh)</t>
  </si>
  <si>
    <t>Chưa kể 5,76km đường các phường khác làm (không được hỗ trợ xi măng)</t>
  </si>
  <si>
    <t>Chưa kể 4,15km làm trước khi có KH hỗ trợ XM của tỉnh và 3,64km đường dự án</t>
  </si>
  <si>
    <t>ĐẾN NGÀY 17 THÁNG 10 NĂM 2013</t>
  </si>
  <si>
    <t>Kế hoạch đăng ký xây dựng đường GTNT năm 2013 của huyện (điều chỉnh)</t>
  </si>
  <si>
    <t>da</t>
  </si>
  <si>
    <t>trc</t>
  </si>
  <si>
    <t>- Chưa kể 12,2km đường dự án</t>
  </si>
  <si>
    <t>Chưa kể 2,44km làm trước khi có KH hỗ trợ XM của tỉnh, 8km đường dự án và 3,34km đường Thị trấn không được hỗ trợ XM</t>
  </si>
  <si>
    <t>Chưa kể 0,8km đường Thị trấn (không được hỗ trợ XM) và 23,99km đường dự án</t>
  </si>
  <si>
    <t>- Trong đó 6,42km làm trước khi có KH hỗ trợ XM của tỉnh;
- Chưa kể 11,65km đường BTXM từ các dự án</t>
  </si>
  <si>
    <t>- Trong đó 4,31km làm trước khi có KH hỗ trợ XM của tỉnh
- Chưa kể 1,73km đường Thị trấn (không được hỗ trợ XM) và 21,67km đường dự án</t>
  </si>
  <si>
    <t>Chưa kể 12,1 km đường BTXM từ dự án và 1km xây dựng trước khi có KH hỗ trợ của tỉnh</t>
  </si>
  <si>
    <t>Chưa kể 13,49 km đường nhựa, BTXM từ các dự án và 6,95km đường BTXM làm trước khi có KH hỗ trợ của tỉnh</t>
  </si>
  <si>
    <t>Chưa kể 5,13km đường BTXM các phường khác làm (không được hỗ trợ xi măng)</t>
  </si>
  <si>
    <t>Chưa kể 39,7 km đường nhựa, BTXM từ các dự án, 7,5km đường BTXM Thị trấn (không được hỗ trợ XM), 17,15km đường khác</t>
  </si>
  <si>
    <t>Chưa kể 39,7 km đường nhựa, BTXM từ các dự án, 24,65km đường BTXM Thị trấn và các xã làm (không được hỗ trợ XM của tỉnh)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</si>
</sst>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</numFmts>
  <fonts count="6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62" fillId="26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2" fontId="9" fillId="3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3" fillId="36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3" fillId="36" borderId="12" xfId="0" applyNumberFormat="1" applyFont="1" applyFill="1" applyBorder="1" applyAlignment="1">
      <alignment vertical="center"/>
    </xf>
    <xf numFmtId="1" fontId="3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vertical="center"/>
    </xf>
    <xf numFmtId="174" fontId="9" fillId="36" borderId="15" xfId="0" applyNumberFormat="1" applyFont="1" applyFill="1" applyBorder="1" applyAlignment="1">
      <alignment vertical="center"/>
    </xf>
    <xf numFmtId="2" fontId="9" fillId="36" borderId="15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3" fontId="12" fillId="36" borderId="15" xfId="42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3" fillId="0" borderId="13" xfId="60" applyNumberFormat="1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vertical="center"/>
    </xf>
    <xf numFmtId="0" fontId="8" fillId="0" borderId="11" xfId="60" applyNumberFormat="1" applyFont="1" applyFill="1" applyBorder="1" applyAlignment="1">
      <alignment vertical="center"/>
    </xf>
    <xf numFmtId="0" fontId="3" fillId="0" borderId="12" xfId="60" applyNumberFormat="1" applyFont="1" applyFill="1" applyBorder="1" applyAlignment="1">
      <alignment vertical="center"/>
    </xf>
    <xf numFmtId="4" fontId="12" fillId="0" borderId="15" xfId="42" applyNumberFormat="1" applyFont="1" applyFill="1" applyBorder="1" applyAlignment="1">
      <alignment vertical="center"/>
    </xf>
    <xf numFmtId="0" fontId="3" fillId="36" borderId="13" xfId="60" applyNumberFormat="1" applyFont="1" applyFill="1" applyBorder="1" applyAlignment="1">
      <alignment vertical="center"/>
    </xf>
    <xf numFmtId="2" fontId="11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8" fillId="36" borderId="11" xfId="60" applyNumberFormat="1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3" fillId="36" borderId="11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1" fontId="12" fillId="0" borderId="0" xfId="42" applyFont="1" applyFill="1" applyAlignment="1">
      <alignment/>
    </xf>
    <xf numFmtId="172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2" fontId="5" fillId="6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vertical="center"/>
    </xf>
    <xf numFmtId="0" fontId="8" fillId="6" borderId="11" xfId="0" applyFont="1" applyFill="1" applyBorder="1" applyAlignment="1" quotePrefix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2" fontId="11" fillId="6" borderId="12" xfId="0" applyNumberFormat="1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vertical="center"/>
    </xf>
    <xf numFmtId="0" fontId="3" fillId="6" borderId="12" xfId="42" applyNumberFormat="1" applyFont="1" applyFill="1" applyBorder="1" applyAlignment="1">
      <alignment vertical="center"/>
    </xf>
    <xf numFmtId="3" fontId="3" fillId="6" borderId="12" xfId="42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2" fontId="3" fillId="6" borderId="12" xfId="0" applyNumberFormat="1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vertical="center"/>
    </xf>
    <xf numFmtId="3" fontId="3" fillId="6" borderId="12" xfId="0" applyNumberFormat="1" applyFont="1" applyFill="1" applyBorder="1" applyAlignment="1">
      <alignment vertical="center"/>
    </xf>
    <xf numFmtId="173" fontId="3" fillId="6" borderId="12" xfId="6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2" fontId="8" fillId="6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/>
    </xf>
    <xf numFmtId="2" fontId="9" fillId="6" borderId="11" xfId="0" applyNumberFormat="1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3" fontId="4" fillId="6" borderId="11" xfId="0" applyNumberFormat="1" applyFont="1" applyFill="1" applyBorder="1" applyAlignment="1">
      <alignment vertical="center"/>
    </xf>
    <xf numFmtId="2" fontId="11" fillId="6" borderId="11" xfId="0" applyNumberFormat="1" applyFont="1" applyFill="1" applyBorder="1" applyAlignment="1">
      <alignment vertical="center"/>
    </xf>
    <xf numFmtId="2" fontId="3" fillId="6" borderId="11" xfId="0" applyNumberFormat="1" applyFont="1" applyFill="1" applyBorder="1" applyAlignment="1">
      <alignment vertical="center"/>
    </xf>
    <xf numFmtId="2" fontId="2" fillId="6" borderId="11" xfId="0" applyNumberFormat="1" applyFont="1" applyFill="1" applyBorder="1" applyAlignment="1">
      <alignment vertical="center"/>
    </xf>
    <xf numFmtId="1" fontId="3" fillId="6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3" fontId="3" fillId="6" borderId="13" xfId="42" applyNumberFormat="1" applyFont="1" applyFill="1" applyBorder="1" applyAlignment="1">
      <alignment vertical="center"/>
    </xf>
    <xf numFmtId="2" fontId="2" fillId="6" borderId="13" xfId="0" applyNumberFormat="1" applyFont="1" applyFill="1" applyBorder="1" applyAlignment="1">
      <alignment vertical="center"/>
    </xf>
    <xf numFmtId="3" fontId="3" fillId="6" borderId="13" xfId="0" applyNumberFormat="1" applyFont="1" applyFill="1" applyBorder="1" applyAlignment="1">
      <alignment vertical="center"/>
    </xf>
    <xf numFmtId="173" fontId="3" fillId="6" borderId="13" xfId="60" applyNumberFormat="1" applyFont="1" applyFill="1" applyBorder="1" applyAlignment="1">
      <alignment vertical="center"/>
    </xf>
    <xf numFmtId="0" fontId="8" fillId="6" borderId="19" xfId="0" applyFont="1" applyFill="1" applyBorder="1" applyAlignment="1" quotePrefix="1">
      <alignment vertical="center" wrapText="1"/>
    </xf>
    <xf numFmtId="2" fontId="2" fillId="6" borderId="11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vertical="center" wrapText="1"/>
    </xf>
    <xf numFmtId="2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3" fontId="30" fillId="0" borderId="15" xfId="42" applyNumberFormat="1" applyFont="1" applyFill="1" applyBorder="1" applyAlignment="1">
      <alignment vertical="center"/>
    </xf>
    <xf numFmtId="173" fontId="2" fillId="0" borderId="10" xfId="6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0" fillId="0" borderId="15" xfId="42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 wrapText="1"/>
    </xf>
    <xf numFmtId="2" fontId="3" fillId="0" borderId="11" xfId="42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173" fontId="11" fillId="0" borderId="0" xfId="60" applyNumberFormat="1" applyFont="1" applyFill="1" applyAlignment="1" quotePrefix="1">
      <alignment/>
    </xf>
    <xf numFmtId="0" fontId="10" fillId="0" borderId="0" xfId="0" applyFont="1" applyFill="1" applyAlignment="1">
      <alignment/>
    </xf>
    <xf numFmtId="172" fontId="21" fillId="0" borderId="0" xfId="42" applyNumberFormat="1" applyFont="1" applyFill="1" applyAlignment="1">
      <alignment/>
    </xf>
    <xf numFmtId="9" fontId="11" fillId="0" borderId="0" xfId="60" applyFont="1" applyFill="1" applyAlignment="1">
      <alignment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 quotePrefix="1">
      <alignment/>
    </xf>
    <xf numFmtId="174" fontId="10" fillId="0" borderId="0" xfId="0" applyNumberFormat="1" applyFont="1" applyFill="1" applyAlignment="1">
      <alignment/>
    </xf>
    <xf numFmtId="171" fontId="30" fillId="0" borderId="0" xfId="42" applyFont="1" applyFill="1" applyAlignment="1">
      <alignment/>
    </xf>
    <xf numFmtId="172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2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" fillId="0" borderId="0" xfId="60" applyNumberFormat="1" applyFont="1" applyFill="1" applyBorder="1" applyAlignment="1">
      <alignment vertical="center"/>
    </xf>
    <xf numFmtId="4" fontId="30" fillId="0" borderId="0" xfId="42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</xf>
    <xf numFmtId="2" fontId="3" fillId="36" borderId="0" xfId="6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26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27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16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873" t="s">
        <v>15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9"/>
      <c r="S1" s="9"/>
    </row>
    <row r="2" spans="1:19" s="5" customFormat="1" ht="22.5" customHeight="1">
      <c r="A2" s="874" t="s">
        <v>16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10"/>
      <c r="S2" s="10"/>
    </row>
    <row r="3" spans="1:18" s="3" customFormat="1" ht="46.5" customHeight="1">
      <c r="A3" s="879" t="s">
        <v>0</v>
      </c>
      <c r="B3" s="878" t="s">
        <v>1</v>
      </c>
      <c r="C3" s="878" t="s">
        <v>25</v>
      </c>
      <c r="D3" s="878"/>
      <c r="E3" s="878"/>
      <c r="F3" s="878"/>
      <c r="G3" s="881" t="s">
        <v>26</v>
      </c>
      <c r="H3" s="882"/>
      <c r="I3" s="882"/>
      <c r="J3" s="882"/>
      <c r="K3" s="882"/>
      <c r="L3" s="878" t="s">
        <v>22</v>
      </c>
      <c r="M3" s="878"/>
      <c r="N3" s="878"/>
      <c r="O3" s="878"/>
      <c r="P3" s="878" t="s">
        <v>34</v>
      </c>
      <c r="Q3" s="879" t="s">
        <v>14</v>
      </c>
      <c r="R3" s="7"/>
    </row>
    <row r="4" spans="1:19" s="3" customFormat="1" ht="14.25" customHeight="1">
      <c r="A4" s="879"/>
      <c r="B4" s="878"/>
      <c r="C4" s="878" t="s">
        <v>20</v>
      </c>
      <c r="D4" s="880" t="s">
        <v>21</v>
      </c>
      <c r="E4" s="880"/>
      <c r="F4" s="880"/>
      <c r="G4" s="878" t="s">
        <v>20</v>
      </c>
      <c r="H4" s="883" t="s">
        <v>21</v>
      </c>
      <c r="I4" s="884"/>
      <c r="J4" s="884"/>
      <c r="K4" s="885"/>
      <c r="L4" s="878" t="s">
        <v>20</v>
      </c>
      <c r="M4" s="880" t="s">
        <v>21</v>
      </c>
      <c r="N4" s="880"/>
      <c r="O4" s="880"/>
      <c r="P4" s="878"/>
      <c r="Q4" s="879"/>
      <c r="R4" s="6"/>
      <c r="S4" s="4"/>
    </row>
    <row r="5" spans="1:19" s="3" customFormat="1" ht="60" customHeight="1">
      <c r="A5" s="879"/>
      <c r="B5" s="878"/>
      <c r="C5" s="878"/>
      <c r="D5" s="8" t="s">
        <v>17</v>
      </c>
      <c r="E5" s="8" t="s">
        <v>18</v>
      </c>
      <c r="F5" s="8" t="s">
        <v>19</v>
      </c>
      <c r="G5" s="878"/>
      <c r="H5" s="8" t="s">
        <v>17</v>
      </c>
      <c r="I5" s="8" t="s">
        <v>18</v>
      </c>
      <c r="J5" s="8" t="s">
        <v>19</v>
      </c>
      <c r="K5" s="8" t="s">
        <v>32</v>
      </c>
      <c r="L5" s="878"/>
      <c r="M5" s="8" t="s">
        <v>17</v>
      </c>
      <c r="N5" s="8" t="s">
        <v>18</v>
      </c>
      <c r="O5" s="8" t="s">
        <v>19</v>
      </c>
      <c r="P5" s="878"/>
      <c r="Q5" s="879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875" t="s">
        <v>23</v>
      </c>
      <c r="B18" s="876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877" t="s">
        <v>24</v>
      </c>
      <c r="P19" s="877"/>
      <c r="Q19" s="877"/>
    </row>
  </sheetData>
  <sheetProtection/>
  <mergeCells count="17">
    <mergeCell ref="D4:F4"/>
    <mergeCell ref="G3:K3"/>
    <mergeCell ref="H4:K4"/>
    <mergeCell ref="P3:P5"/>
    <mergeCell ref="L3:O3"/>
    <mergeCell ref="L4:L5"/>
    <mergeCell ref="M4:O4"/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L8" sqref="L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636"/>
      <c r="V1" s="636"/>
      <c r="W1" s="146"/>
      <c r="X1" s="146"/>
    </row>
    <row r="2" spans="1:24" s="148" customFormat="1" ht="22.5" customHeight="1">
      <c r="A2" s="925" t="s">
        <v>348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637"/>
      <c r="V2" s="637"/>
      <c r="W2" s="147"/>
      <c r="X2" s="147"/>
    </row>
    <row r="3" spans="1:24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658"/>
      <c r="V3" s="658"/>
      <c r="W3" s="147"/>
      <c r="X3" s="147"/>
    </row>
    <row r="4" spans="1:23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30" t="s">
        <v>307</v>
      </c>
      <c r="N4" s="931"/>
      <c r="O4" s="931"/>
      <c r="P4" s="931"/>
      <c r="Q4" s="931"/>
      <c r="R4" s="932"/>
      <c r="S4" s="912" t="s">
        <v>43</v>
      </c>
      <c r="T4" s="918" t="s">
        <v>14</v>
      </c>
      <c r="U4" s="912" t="s">
        <v>329</v>
      </c>
      <c r="V4" s="913" t="s">
        <v>313</v>
      </c>
      <c r="W4" s="150"/>
    </row>
    <row r="5" spans="1:24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2"/>
      <c r="T5" s="918"/>
      <c r="U5" s="912"/>
      <c r="V5" s="913"/>
      <c r="W5" s="152"/>
      <c r="X5" s="153"/>
    </row>
    <row r="6" spans="1:24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2"/>
      <c r="T6" s="918"/>
      <c r="U6" s="912"/>
      <c r="V6" s="913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9240.54</v>
      </c>
      <c r="S15" s="604">
        <f t="shared" si="0"/>
        <v>0.751063829787234</v>
      </c>
      <c r="T15" s="473" t="s">
        <v>350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5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828" t="s">
        <v>351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895" t="s">
        <v>23</v>
      </c>
      <c r="B20" s="896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498.37000000000006</v>
      </c>
      <c r="N20" s="821">
        <f t="shared" si="5"/>
        <v>120.02000000000001</v>
      </c>
      <c r="O20" s="820">
        <f t="shared" si="5"/>
        <v>273.86999999999995</v>
      </c>
      <c r="P20" s="820">
        <f t="shared" si="5"/>
        <v>103.18</v>
      </c>
      <c r="Q20" s="820">
        <f t="shared" si="5"/>
        <v>1.3</v>
      </c>
      <c r="R20" s="822">
        <f t="shared" si="5"/>
        <v>68073.59000000001</v>
      </c>
      <c r="S20" s="823">
        <f t="shared" si="0"/>
        <v>0.6669762636374345</v>
      </c>
      <c r="T20" s="824" t="str">
        <f>+U4&amp;U20&amp;" km"</f>
        <v>Tổng đường dự án và đường khác: 95,36 km</v>
      </c>
      <c r="U20" s="825">
        <f>+SUM(U8:U19)</f>
        <v>95.36</v>
      </c>
      <c r="V20" s="656">
        <f>SUM(V8:V19)</f>
        <v>593.73</v>
      </c>
    </row>
    <row r="21" spans="2:22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102.74500000000006</v>
      </c>
      <c r="R23" s="769">
        <f>+R20-55721</f>
        <v>12352.590000000011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16.732000000000085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636"/>
      <c r="V1" s="636"/>
      <c r="W1" s="146"/>
      <c r="X1" s="146"/>
    </row>
    <row r="2" spans="1:24" s="148" customFormat="1" ht="22.5" customHeight="1">
      <c r="A2" s="925" t="s">
        <v>348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637"/>
      <c r="V2" s="637"/>
      <c r="W2" s="147"/>
      <c r="X2" s="147"/>
    </row>
    <row r="3" spans="1:24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658"/>
      <c r="V3" s="658"/>
      <c r="W3" s="147"/>
      <c r="X3" s="147"/>
    </row>
    <row r="4" spans="1:23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30" t="s">
        <v>307</v>
      </c>
      <c r="N4" s="931"/>
      <c r="O4" s="931"/>
      <c r="P4" s="931"/>
      <c r="Q4" s="931"/>
      <c r="R4" s="932"/>
      <c r="S4" s="912" t="s">
        <v>43</v>
      </c>
      <c r="T4" s="918" t="s">
        <v>14</v>
      </c>
      <c r="U4" s="912" t="s">
        <v>329</v>
      </c>
      <c r="V4" s="913" t="s">
        <v>313</v>
      </c>
      <c r="W4" s="150"/>
    </row>
    <row r="5" spans="1:24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2"/>
      <c r="T5" s="918"/>
      <c r="U5" s="912"/>
      <c r="V5" s="913"/>
      <c r="W5" s="152"/>
      <c r="X5" s="153"/>
    </row>
    <row r="6" spans="1:24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2"/>
      <c r="T6" s="918"/>
      <c r="U6" s="912"/>
      <c r="V6" s="913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347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473" t="s">
        <v>346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895" t="s">
        <v>23</v>
      </c>
      <c r="B20" s="896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489.49</v>
      </c>
      <c r="N20" s="821">
        <f t="shared" si="5"/>
        <v>116.20000000000002</v>
      </c>
      <c r="O20" s="820">
        <f t="shared" si="5"/>
        <v>268.61</v>
      </c>
      <c r="P20" s="820">
        <f t="shared" si="5"/>
        <v>103.38</v>
      </c>
      <c r="Q20" s="820">
        <f t="shared" si="5"/>
        <v>1.3</v>
      </c>
      <c r="R20" s="822">
        <f t="shared" si="5"/>
        <v>67845.25</v>
      </c>
      <c r="S20" s="823">
        <f t="shared" si="0"/>
        <v>0.6551270932373977</v>
      </c>
      <c r="T20" s="824" t="str">
        <f>+U4&amp;U20&amp;" km"</f>
        <v>Tổng đường dự án và đường khác: 95,26 km</v>
      </c>
      <c r="U20" s="825">
        <f>+SUM(U8:U19)</f>
        <v>95.26</v>
      </c>
      <c r="V20" s="656">
        <f>SUM(V8:V19)</f>
        <v>584.7500000000001</v>
      </c>
    </row>
    <row r="21" spans="2:22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93.86500000000001</v>
      </c>
      <c r="R23" s="769">
        <f>+R20-55721</f>
        <v>12124.25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7.852000000000032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636"/>
      <c r="V1" s="636"/>
      <c r="W1" s="146"/>
      <c r="X1" s="146"/>
    </row>
    <row r="2" spans="1:24" s="148" customFormat="1" ht="22.5" customHeight="1">
      <c r="A2" s="925" t="s">
        <v>342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637"/>
      <c r="V2" s="637"/>
      <c r="W2" s="147"/>
      <c r="X2" s="147"/>
    </row>
    <row r="3" spans="1:24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658"/>
      <c r="V3" s="658"/>
      <c r="W3" s="147"/>
      <c r="X3" s="147"/>
    </row>
    <row r="4" spans="1:23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30" t="s">
        <v>307</v>
      </c>
      <c r="N4" s="931"/>
      <c r="O4" s="931"/>
      <c r="P4" s="931"/>
      <c r="Q4" s="931"/>
      <c r="R4" s="932"/>
      <c r="S4" s="912" t="s">
        <v>43</v>
      </c>
      <c r="T4" s="918" t="s">
        <v>14</v>
      </c>
      <c r="U4" s="912" t="s">
        <v>329</v>
      </c>
      <c r="V4" s="913" t="s">
        <v>313</v>
      </c>
      <c r="W4" s="150"/>
    </row>
    <row r="5" spans="1:24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2"/>
      <c r="T5" s="918"/>
      <c r="U5" s="912"/>
      <c r="V5" s="913"/>
      <c r="W5" s="152"/>
      <c r="X5" s="153"/>
    </row>
    <row r="6" spans="1:24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2"/>
      <c r="T6" s="918"/>
      <c r="U6" s="912"/>
      <c r="V6" s="913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35.361999999999995</v>
      </c>
      <c r="N8" s="465">
        <v>7.11</v>
      </c>
      <c r="O8" s="465">
        <v>17.49</v>
      </c>
      <c r="P8" s="465">
        <v>10.762</v>
      </c>
      <c r="Q8" s="465"/>
      <c r="R8" s="616">
        <v>7025.65</v>
      </c>
      <c r="S8" s="549">
        <f aca="true" t="shared" si="0" ref="S8:S20">+M8/G8</f>
        <v>1.0152741889175996</v>
      </c>
      <c r="T8" s="814" t="s">
        <v>311</v>
      </c>
      <c r="U8" s="755">
        <v>4</v>
      </c>
      <c r="V8" s="646">
        <f>+M8+U8</f>
        <v>39.361999999999995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34.882999999999996</v>
      </c>
      <c r="N9" s="344">
        <v>10.8</v>
      </c>
      <c r="O9" s="514">
        <v>19.99</v>
      </c>
      <c r="P9" s="344">
        <v>4.093</v>
      </c>
      <c r="Q9" s="344"/>
      <c r="R9" s="827">
        <v>5019.85</v>
      </c>
      <c r="S9" s="604">
        <f t="shared" si="0"/>
        <v>0.6041497081695215</v>
      </c>
      <c r="T9" s="828" t="s">
        <v>343</v>
      </c>
      <c r="U9" s="756">
        <f>1.8+2.44</f>
        <v>4.24</v>
      </c>
      <c r="V9" s="646">
        <f aca="true" t="shared" si="3" ref="V9:V19">+M9+U9</f>
        <v>39.123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31.505000000000003</v>
      </c>
      <c r="N10" s="471">
        <f>7.09-0.24</f>
        <v>6.85</v>
      </c>
      <c r="O10" s="471">
        <f>15.58-0.26</f>
        <v>15.32</v>
      </c>
      <c r="P10" s="471">
        <v>9.335</v>
      </c>
      <c r="Q10" s="471"/>
      <c r="R10" s="618">
        <v>5252</v>
      </c>
      <c r="S10" s="604">
        <f t="shared" si="0"/>
        <v>0.7326744186046512</v>
      </c>
      <c r="T10" s="473" t="s">
        <v>337</v>
      </c>
      <c r="U10" s="756">
        <f>0.24+0.26</f>
        <v>0.5</v>
      </c>
      <c r="V10" s="646">
        <f t="shared" si="3"/>
        <v>32.005</v>
      </c>
      <c r="Y10" s="77"/>
    </row>
    <row r="11" spans="1:22" ht="23.2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27.03</v>
      </c>
      <c r="N11" s="607">
        <v>12.47</v>
      </c>
      <c r="O11" s="471">
        <v>5.32</v>
      </c>
      <c r="P11" s="471">
        <v>9.24</v>
      </c>
      <c r="Q11" s="471"/>
      <c r="R11" s="618">
        <v>1260</v>
      </c>
      <c r="S11" s="604">
        <f t="shared" si="0"/>
        <v>0.4505</v>
      </c>
      <c r="T11" s="828" t="s">
        <v>310</v>
      </c>
      <c r="U11" s="756">
        <v>4.5</v>
      </c>
      <c r="V11" s="646">
        <f t="shared" si="3"/>
        <v>31.53</v>
      </c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339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79.7</v>
      </c>
      <c r="N14" s="471">
        <v>13.32</v>
      </c>
      <c r="O14" s="471">
        <v>38.96</v>
      </c>
      <c r="P14" s="471">
        <v>27.42</v>
      </c>
      <c r="Q14" s="471"/>
      <c r="R14" s="618">
        <v>8958.8</v>
      </c>
      <c r="S14" s="604">
        <f t="shared" si="0"/>
        <v>0.5978097809780979</v>
      </c>
      <c r="T14" s="473" t="s">
        <v>338</v>
      </c>
      <c r="U14" s="756">
        <f>2.25+14.46</f>
        <v>16.71</v>
      </c>
      <c r="V14" s="646">
        <f t="shared" si="3"/>
        <v>96.41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22.33</v>
      </c>
      <c r="N16" s="471">
        <v>6.4</v>
      </c>
      <c r="O16" s="471">
        <v>11.6</v>
      </c>
      <c r="P16" s="471">
        <v>4.33</v>
      </c>
      <c r="Q16" s="471"/>
      <c r="R16" s="618">
        <v>3705.85</v>
      </c>
      <c r="S16" s="604">
        <f t="shared" si="0"/>
        <v>0.5790975103734439</v>
      </c>
      <c r="T16" s="473" t="s">
        <v>344</v>
      </c>
      <c r="U16" s="756">
        <f>1+1.3</f>
        <v>2.3</v>
      </c>
      <c r="V16" s="646">
        <f t="shared" si="3"/>
        <v>24.63</v>
      </c>
    </row>
    <row r="17" spans="1:22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57.769999999999996</v>
      </c>
      <c r="N17" s="471">
        <v>24.11</v>
      </c>
      <c r="O17" s="471">
        <v>32.66</v>
      </c>
      <c r="P17" s="471">
        <v>1</v>
      </c>
      <c r="Q17" s="471"/>
      <c r="R17" s="618">
        <v>7328.5</v>
      </c>
      <c r="S17" s="604">
        <f t="shared" si="0"/>
        <v>0.6275255268303281</v>
      </c>
      <c r="T17" s="473" t="s">
        <v>319</v>
      </c>
      <c r="U17" s="756">
        <v>12</v>
      </c>
      <c r="V17" s="646">
        <f t="shared" si="3"/>
        <v>69.77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604">
        <f t="shared" si="0"/>
        <v>0.5569230769230769</v>
      </c>
      <c r="T18" s="473" t="s">
        <v>341</v>
      </c>
      <c r="U18" s="756">
        <v>3.02</v>
      </c>
      <c r="V18" s="646">
        <f t="shared" si="3"/>
        <v>4.468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9.8</v>
      </c>
      <c r="N19" s="585">
        <v>2.9</v>
      </c>
      <c r="O19" s="585">
        <v>0.4</v>
      </c>
      <c r="P19" s="585">
        <v>6.5</v>
      </c>
      <c r="Q19" s="624"/>
      <c r="R19" s="621">
        <v>965</v>
      </c>
      <c r="S19" s="610">
        <f t="shared" si="0"/>
        <v>0.5444444444444445</v>
      </c>
      <c r="T19" s="587"/>
      <c r="U19" s="758"/>
      <c r="V19" s="646">
        <f t="shared" si="3"/>
        <v>9.8</v>
      </c>
    </row>
    <row r="20" spans="1:22" ht="21.75" customHeight="1">
      <c r="A20" s="895" t="s">
        <v>23</v>
      </c>
      <c r="B20" s="896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481.638</v>
      </c>
      <c r="N20" s="821">
        <f t="shared" si="5"/>
        <v>118.75000000000001</v>
      </c>
      <c r="O20" s="820">
        <f t="shared" si="5"/>
        <v>255.21</v>
      </c>
      <c r="P20" s="820">
        <f t="shared" si="5"/>
        <v>106.378</v>
      </c>
      <c r="Q20" s="820">
        <f t="shared" si="5"/>
        <v>1.3</v>
      </c>
      <c r="R20" s="822">
        <f t="shared" si="5"/>
        <v>63970.24999999999</v>
      </c>
      <c r="S20" s="823">
        <f t="shared" si="0"/>
        <v>0.6446180778620069</v>
      </c>
      <c r="T20" s="824" t="str">
        <f>+U4&amp;U20&amp;" km"</f>
        <v>Tổng đường dự án và đường khác: 82,17 km</v>
      </c>
      <c r="U20" s="825">
        <f>+SUM(U8:U19)</f>
        <v>82.16999999999999</v>
      </c>
      <c r="V20" s="656">
        <f>SUM(V8:V19)</f>
        <v>563.8079999999999</v>
      </c>
    </row>
    <row r="21" spans="2:22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M23" s="768">
        <f>+M20-395.625</f>
        <v>86.01299999999998</v>
      </c>
      <c r="R23" s="769">
        <f>+R20-55721</f>
        <v>8249.249999999993</v>
      </c>
      <c r="S23" s="26">
        <f>2.1+1.45</f>
        <v>3.55</v>
      </c>
    </row>
    <row r="24" ht="15">
      <c r="S24" s="26">
        <f>1.3+0.12+0.4+0.09+0.86</f>
        <v>2.77</v>
      </c>
    </row>
    <row r="25" ht="15">
      <c r="M25" s="163">
        <v>443.83</v>
      </c>
    </row>
    <row r="26" ht="15">
      <c r="M26" s="163">
        <f>+M20-M25</f>
        <v>37.80799999999999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G4:L4"/>
    <mergeCell ref="M4:R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636"/>
      <c r="V1" s="636"/>
      <c r="W1" s="146"/>
      <c r="X1" s="146"/>
    </row>
    <row r="2" spans="1:24" s="148" customFormat="1" ht="22.5" customHeight="1">
      <c r="A2" s="925" t="s">
        <v>331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637"/>
      <c r="V2" s="637"/>
      <c r="W2" s="147"/>
      <c r="X2" s="147"/>
    </row>
    <row r="3" spans="1:24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658"/>
      <c r="V3" s="658"/>
      <c r="W3" s="147"/>
      <c r="X3" s="147"/>
    </row>
    <row r="4" spans="1:23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30" t="s">
        <v>307</v>
      </c>
      <c r="N4" s="931"/>
      <c r="O4" s="931"/>
      <c r="P4" s="931"/>
      <c r="Q4" s="931"/>
      <c r="R4" s="932"/>
      <c r="S4" s="912" t="s">
        <v>43</v>
      </c>
      <c r="T4" s="918" t="s">
        <v>14</v>
      </c>
      <c r="U4" s="912" t="s">
        <v>329</v>
      </c>
      <c r="V4" s="913" t="s">
        <v>313</v>
      </c>
      <c r="W4" s="150"/>
    </row>
    <row r="5" spans="1:24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2"/>
      <c r="T5" s="918"/>
      <c r="U5" s="912"/>
      <c r="V5" s="913"/>
      <c r="W5" s="152"/>
      <c r="X5" s="153"/>
    </row>
    <row r="6" spans="1:24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2"/>
      <c r="T6" s="918"/>
      <c r="U6" s="912"/>
      <c r="V6" s="913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68" customFormat="1" ht="24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34.83</v>
      </c>
      <c r="H8" s="806">
        <v>13.25</v>
      </c>
      <c r="I8" s="806">
        <v>9.75</v>
      </c>
      <c r="J8" s="806">
        <v>11.83</v>
      </c>
      <c r="K8" s="807"/>
      <c r="L8" s="808">
        <v>6645.867999999999</v>
      </c>
      <c r="M8" s="809">
        <f>SUM(N8:Q8)</f>
        <v>33.912</v>
      </c>
      <c r="N8" s="803">
        <v>5.66</v>
      </c>
      <c r="O8" s="803">
        <v>18.49</v>
      </c>
      <c r="P8" s="803">
        <v>9.762</v>
      </c>
      <c r="Q8" s="803"/>
      <c r="R8" s="810">
        <v>6935.64</v>
      </c>
      <c r="S8" s="811">
        <f aca="true" t="shared" si="0" ref="S8:S20">+M8/G8</f>
        <v>0.9736434108527132</v>
      </c>
      <c r="T8" s="812" t="s">
        <v>311</v>
      </c>
      <c r="U8" s="755">
        <v>4</v>
      </c>
      <c r="V8" s="646">
        <f>+M8+U8</f>
        <v>37.912</v>
      </c>
      <c r="W8" s="71"/>
    </row>
    <row r="9" spans="1:22" s="68" customFormat="1" ht="25.5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1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9955.8</v>
      </c>
      <c r="M9" s="794">
        <f aca="true" t="shared" si="2" ref="M9:M19">SUM(N9:Q9)</f>
        <v>22.201999999999998</v>
      </c>
      <c r="N9" s="774">
        <f>9.83-1.3</f>
        <v>8.53</v>
      </c>
      <c r="O9" s="795">
        <f>10.67-0.3</f>
        <v>10.37</v>
      </c>
      <c r="P9" s="774">
        <f>3.502-0.2</f>
        <v>3.3019999999999996</v>
      </c>
      <c r="Q9" s="774"/>
      <c r="R9" s="796">
        <v>4179.85</v>
      </c>
      <c r="S9" s="700">
        <f t="shared" si="0"/>
        <v>0.38452345901383816</v>
      </c>
      <c r="T9" s="777" t="s">
        <v>336</v>
      </c>
      <c r="U9" s="756">
        <f>1.8+2.44</f>
        <v>4.24</v>
      </c>
      <c r="V9" s="646">
        <f aca="true" t="shared" si="3" ref="V9:V19">+M9+U9</f>
        <v>26.442</v>
      </c>
    </row>
    <row r="10" spans="1:25" s="68" customFormat="1" ht="18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1"/>
        <v>43</v>
      </c>
      <c r="H10" s="695">
        <v>12.7</v>
      </c>
      <c r="I10" s="695">
        <v>19.2</v>
      </c>
      <c r="J10" s="695">
        <v>11.1</v>
      </c>
      <c r="K10" s="696"/>
      <c r="L10" s="697">
        <v>5912.900000000001</v>
      </c>
      <c r="M10" s="813">
        <f>SUM(N10:Q10)</f>
        <v>30.405</v>
      </c>
      <c r="N10" s="692">
        <f>7.09-0.24</f>
        <v>6.85</v>
      </c>
      <c r="O10" s="692">
        <f>15.58-0.26</f>
        <v>15.32</v>
      </c>
      <c r="P10" s="692">
        <v>8.235</v>
      </c>
      <c r="Q10" s="692"/>
      <c r="R10" s="699">
        <v>4789</v>
      </c>
      <c r="S10" s="700">
        <f t="shared" si="0"/>
        <v>0.707093023255814</v>
      </c>
      <c r="T10" s="778" t="s">
        <v>337</v>
      </c>
      <c r="U10" s="756">
        <f>0.24+0.26</f>
        <v>0.5</v>
      </c>
      <c r="V10" s="646">
        <f t="shared" si="3"/>
        <v>30.905</v>
      </c>
      <c r="Y10" s="77"/>
    </row>
    <row r="11" spans="1:22" ht="23.25" customHeight="1">
      <c r="A11" s="771">
        <v>4</v>
      </c>
      <c r="B11" s="772" t="s">
        <v>6</v>
      </c>
      <c r="C11" s="773">
        <f>+D11+E11+F11</f>
        <v>60</v>
      </c>
      <c r="D11" s="774">
        <v>17</v>
      </c>
      <c r="E11" s="774">
        <v>18</v>
      </c>
      <c r="F11" s="774">
        <v>25</v>
      </c>
      <c r="G11" s="695">
        <f t="shared" si="1"/>
        <v>60</v>
      </c>
      <c r="H11" s="695">
        <v>17</v>
      </c>
      <c r="I11" s="695">
        <v>18</v>
      </c>
      <c r="J11" s="695">
        <v>25</v>
      </c>
      <c r="K11" s="696"/>
      <c r="L11" s="697">
        <v>8142</v>
      </c>
      <c r="M11" s="775">
        <f t="shared" si="2"/>
        <v>26.93</v>
      </c>
      <c r="N11" s="792">
        <v>12.47</v>
      </c>
      <c r="O11" s="772">
        <v>5.32</v>
      </c>
      <c r="P11" s="772">
        <v>9.14</v>
      </c>
      <c r="Q11" s="772"/>
      <c r="R11" s="776">
        <v>1213</v>
      </c>
      <c r="S11" s="704">
        <f t="shared" si="0"/>
        <v>0.4488333333333333</v>
      </c>
      <c r="T11" s="645" t="s">
        <v>310</v>
      </c>
      <c r="U11" s="757">
        <v>4.5</v>
      </c>
      <c r="V11" s="646">
        <f t="shared" si="3"/>
        <v>31.43</v>
      </c>
    </row>
    <row r="12" spans="1:22" ht="25.5">
      <c r="A12" s="771">
        <v>5</v>
      </c>
      <c r="B12" s="772" t="s">
        <v>7</v>
      </c>
      <c r="C12" s="773">
        <v>83.4</v>
      </c>
      <c r="D12" s="774">
        <v>28.9</v>
      </c>
      <c r="E12" s="774">
        <v>45.8</v>
      </c>
      <c r="F12" s="774">
        <v>8.7</v>
      </c>
      <c r="G12" s="695">
        <f t="shared" si="1"/>
        <v>84.369</v>
      </c>
      <c r="H12" s="695">
        <v>20.07</v>
      </c>
      <c r="I12" s="695">
        <v>54.049</v>
      </c>
      <c r="J12" s="695">
        <v>7.12</v>
      </c>
      <c r="K12" s="696">
        <v>3.13</v>
      </c>
      <c r="L12" s="697">
        <v>11267.87</v>
      </c>
      <c r="M12" s="775">
        <f t="shared" si="2"/>
        <v>67.24</v>
      </c>
      <c r="N12" s="772">
        <f>15.34-0.96</f>
        <v>14.379999999999999</v>
      </c>
      <c r="O12" s="772">
        <v>44.93</v>
      </c>
      <c r="P12" s="772">
        <v>6.63</v>
      </c>
      <c r="Q12" s="772">
        <v>1.3</v>
      </c>
      <c r="R12" s="776">
        <v>9389.4</v>
      </c>
      <c r="S12" s="704">
        <f t="shared" si="0"/>
        <v>0.7969751923099716</v>
      </c>
      <c r="T12" s="645" t="s">
        <v>335</v>
      </c>
      <c r="U12" s="757">
        <v>0.96</v>
      </c>
      <c r="V12" s="646">
        <f t="shared" si="3"/>
        <v>68.19999999999999</v>
      </c>
    </row>
    <row r="13" spans="1:22" ht="21.75" customHeight="1">
      <c r="A13" s="771">
        <v>6</v>
      </c>
      <c r="B13" s="772" t="s">
        <v>8</v>
      </c>
      <c r="C13" s="773">
        <v>110.5</v>
      </c>
      <c r="D13" s="774">
        <v>52.1</v>
      </c>
      <c r="E13" s="774">
        <v>26.1</v>
      </c>
      <c r="F13" s="774">
        <v>32.3</v>
      </c>
      <c r="G13" s="695">
        <f t="shared" si="1"/>
        <v>88.69</v>
      </c>
      <c r="H13" s="695">
        <v>15.02</v>
      </c>
      <c r="I13" s="695">
        <v>43.97</v>
      </c>
      <c r="J13" s="695">
        <v>29.7</v>
      </c>
      <c r="K13" s="696"/>
      <c r="L13" s="697">
        <v>11441.72</v>
      </c>
      <c r="M13" s="775">
        <f t="shared" si="2"/>
        <v>42.629999999999995</v>
      </c>
      <c r="N13" s="772">
        <v>3.75</v>
      </c>
      <c r="O13" s="772">
        <v>22.23</v>
      </c>
      <c r="P13" s="772">
        <v>16.65</v>
      </c>
      <c r="Q13" s="772"/>
      <c r="R13" s="776">
        <v>5339</v>
      </c>
      <c r="S13" s="704">
        <f t="shared" si="0"/>
        <v>0.4806629834254143</v>
      </c>
      <c r="T13" s="701"/>
      <c r="U13" s="757"/>
      <c r="V13" s="646">
        <f t="shared" si="3"/>
        <v>42.629999999999995</v>
      </c>
    </row>
    <row r="14" spans="1:22" s="68" customFormat="1" ht="25.5">
      <c r="A14" s="691">
        <v>7</v>
      </c>
      <c r="B14" s="692" t="s">
        <v>2</v>
      </c>
      <c r="C14" s="693">
        <v>180.6</v>
      </c>
      <c r="D14" s="694">
        <v>55.4</v>
      </c>
      <c r="E14" s="694">
        <v>60.6</v>
      </c>
      <c r="F14" s="694">
        <v>64.6</v>
      </c>
      <c r="G14" s="695">
        <f t="shared" si="1"/>
        <v>133.32</v>
      </c>
      <c r="H14" s="695">
        <v>36.01</v>
      </c>
      <c r="I14" s="695">
        <v>41.84</v>
      </c>
      <c r="J14" s="695">
        <v>55.47</v>
      </c>
      <c r="K14" s="696"/>
      <c r="L14" s="697">
        <v>18072.41</v>
      </c>
      <c r="M14" s="698">
        <f t="shared" si="2"/>
        <v>77.14999999999999</v>
      </c>
      <c r="N14" s="692">
        <v>13.12</v>
      </c>
      <c r="O14" s="692">
        <v>37.51</v>
      </c>
      <c r="P14" s="692">
        <v>26.52</v>
      </c>
      <c r="Q14" s="692"/>
      <c r="R14" s="699">
        <v>8708.3</v>
      </c>
      <c r="S14" s="700">
        <f t="shared" si="0"/>
        <v>0.5786828682868287</v>
      </c>
      <c r="T14" s="778" t="s">
        <v>338</v>
      </c>
      <c r="U14" s="756">
        <f>2.25+14.46</f>
        <v>16.71</v>
      </c>
      <c r="V14" s="646">
        <f t="shared" si="3"/>
        <v>93.85999999999999</v>
      </c>
    </row>
    <row r="15" spans="1:22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1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2"/>
        <v>63.68000000000001</v>
      </c>
      <c r="N15" s="692">
        <v>11.8</v>
      </c>
      <c r="O15" s="692">
        <v>43.13</v>
      </c>
      <c r="P15" s="692">
        <v>8.75</v>
      </c>
      <c r="Q15" s="692"/>
      <c r="R15" s="699">
        <v>8396</v>
      </c>
      <c r="S15" s="700">
        <f t="shared" si="0"/>
        <v>0.6774468085106383</v>
      </c>
      <c r="T15" s="701" t="s">
        <v>312</v>
      </c>
      <c r="U15" s="756">
        <v>26.6</v>
      </c>
      <c r="V15" s="646">
        <f t="shared" si="3"/>
        <v>90.28</v>
      </c>
    </row>
    <row r="16" spans="1:22" s="68" customFormat="1" ht="21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1"/>
        <v>38.56</v>
      </c>
      <c r="H16" s="695">
        <v>12.91</v>
      </c>
      <c r="I16" s="695">
        <v>9.51</v>
      </c>
      <c r="J16" s="695">
        <v>16.14</v>
      </c>
      <c r="K16" s="696"/>
      <c r="L16" s="697">
        <v>6802.99</v>
      </c>
      <c r="M16" s="801">
        <f>SUM(N16:P16)</f>
        <v>14.674999999999999</v>
      </c>
      <c r="N16" s="692">
        <v>4.378</v>
      </c>
      <c r="O16" s="692">
        <v>9.597</v>
      </c>
      <c r="P16" s="692">
        <v>0.7</v>
      </c>
      <c r="Q16" s="692"/>
      <c r="R16" s="699">
        <v>3010.9</v>
      </c>
      <c r="S16" s="700">
        <f t="shared" si="0"/>
        <v>0.38057572614107876</v>
      </c>
      <c r="T16" s="778" t="s">
        <v>320</v>
      </c>
      <c r="U16" s="756">
        <v>1.3</v>
      </c>
      <c r="V16" s="646">
        <f t="shared" si="3"/>
        <v>15.975</v>
      </c>
    </row>
    <row r="17" spans="1:22" s="68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2"/>
        <v>55.2</v>
      </c>
      <c r="N17" s="692">
        <v>22.97</v>
      </c>
      <c r="O17" s="692">
        <v>31.23</v>
      </c>
      <c r="P17" s="692">
        <v>1</v>
      </c>
      <c r="Q17" s="692"/>
      <c r="R17" s="699">
        <v>7328.5</v>
      </c>
      <c r="S17" s="704">
        <f t="shared" si="0"/>
        <v>0.5996089506843364</v>
      </c>
      <c r="T17" s="701" t="s">
        <v>319</v>
      </c>
      <c r="U17" s="757">
        <v>12</v>
      </c>
      <c r="V17" s="646">
        <f t="shared" si="3"/>
        <v>67.2</v>
      </c>
    </row>
    <row r="18" spans="1:22" s="68" customFormat="1" ht="26.2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1"/>
        <v>2.6</v>
      </c>
      <c r="H18" s="798">
        <v>1</v>
      </c>
      <c r="I18" s="798"/>
      <c r="J18" s="798">
        <v>1.6</v>
      </c>
      <c r="K18" s="696"/>
      <c r="L18" s="697">
        <v>438</v>
      </c>
      <c r="M18" s="799">
        <f t="shared" si="2"/>
        <v>1.448</v>
      </c>
      <c r="N18" s="798">
        <f>0.43+0.22+0.03</f>
        <v>0.68</v>
      </c>
      <c r="O18" s="800">
        <f>+TXHL!U8</f>
        <v>0</v>
      </c>
      <c r="P18" s="798">
        <f>+TXHL!V8</f>
        <v>0.768</v>
      </c>
      <c r="Q18" s="800"/>
      <c r="R18" s="699">
        <f>+TXHL!X8+31</f>
        <v>66</v>
      </c>
      <c r="S18" s="704">
        <f t="shared" si="0"/>
        <v>0.5569230769230769</v>
      </c>
      <c r="T18" s="701" t="s">
        <v>334</v>
      </c>
      <c r="U18" s="757">
        <v>2.77</v>
      </c>
      <c r="V18" s="646">
        <f t="shared" si="3"/>
        <v>4.218</v>
      </c>
    </row>
    <row r="19" spans="1:22" s="68" customFormat="1" ht="19.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1"/>
        <v>18</v>
      </c>
      <c r="H19" s="783">
        <v>4</v>
      </c>
      <c r="I19" s="783">
        <v>4.4</v>
      </c>
      <c r="J19" s="783">
        <v>9.6</v>
      </c>
      <c r="K19" s="784"/>
      <c r="L19" s="785">
        <v>2384</v>
      </c>
      <c r="M19" s="786">
        <f t="shared" si="2"/>
        <v>8.6</v>
      </c>
      <c r="N19" s="787">
        <v>2.1</v>
      </c>
      <c r="O19" s="787">
        <v>0.4</v>
      </c>
      <c r="P19" s="787">
        <v>6.1</v>
      </c>
      <c r="Q19" s="788"/>
      <c r="R19" s="789">
        <v>953</v>
      </c>
      <c r="S19" s="790">
        <f t="shared" si="0"/>
        <v>0.47777777777777775</v>
      </c>
      <c r="T19" s="791"/>
      <c r="U19" s="758"/>
      <c r="V19" s="646">
        <f t="shared" si="3"/>
        <v>8.6</v>
      </c>
    </row>
    <row r="20" spans="1:22" ht="21.75" customHeight="1">
      <c r="A20" s="933" t="s">
        <v>23</v>
      </c>
      <c r="B20" s="934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444.072</v>
      </c>
      <c r="N20" s="480">
        <f t="shared" si="5"/>
        <v>106.688</v>
      </c>
      <c r="O20" s="481">
        <f t="shared" si="5"/>
        <v>238.52700000000002</v>
      </c>
      <c r="P20" s="481">
        <f t="shared" si="5"/>
        <v>97.557</v>
      </c>
      <c r="Q20" s="481">
        <f t="shared" si="5"/>
        <v>1.3</v>
      </c>
      <c r="R20" s="654">
        <f t="shared" si="5"/>
        <v>60308.590000000004</v>
      </c>
      <c r="S20" s="655">
        <f t="shared" si="0"/>
        <v>0.5943402287035847</v>
      </c>
      <c r="T20" s="486" t="str">
        <f>+U4&amp;U20&amp;" km"</f>
        <v>Tổng đường dự án và đường khác: 73,58 km</v>
      </c>
      <c r="U20" s="759">
        <f>+SUM(U8:U19)</f>
        <v>73.58</v>
      </c>
      <c r="V20" s="656">
        <f>SUM(V8:V19)</f>
        <v>517.652</v>
      </c>
    </row>
    <row r="21" spans="2:22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726"/>
      <c r="V21" s="770">
        <f>+M20+U20</f>
        <v>517.652</v>
      </c>
    </row>
    <row r="22" spans="2:22" ht="15">
      <c r="B22" s="162"/>
      <c r="O22" s="36"/>
      <c r="R22" s="165"/>
      <c r="S22" s="166"/>
      <c r="V22" s="793">
        <f>+V21-2.44</f>
        <v>515.212</v>
      </c>
    </row>
    <row r="23" spans="2:19" ht="15">
      <c r="B23" s="659"/>
      <c r="G23" s="167"/>
      <c r="M23" s="768">
        <f>+M20-395.625</f>
        <v>48.447</v>
      </c>
      <c r="R23" s="769">
        <f>+R20-55721</f>
        <v>4587.590000000004</v>
      </c>
      <c r="S23" s="26">
        <f>2.1+1.45</f>
        <v>3.55</v>
      </c>
    </row>
    <row r="24" ht="15">
      <c r="S24" s="26">
        <f>1.3+0.12+0.4+0.09+0.86</f>
        <v>2.77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7"/>
  <sheetViews>
    <sheetView view="pageLayout" workbookViewId="0" topLeftCell="A10">
      <selection activeCell="M16" sqref="M16:M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636"/>
      <c r="V1" s="636"/>
      <c r="W1" s="146"/>
      <c r="X1" s="146"/>
    </row>
    <row r="2" spans="1:24" s="148" customFormat="1" ht="22.5" customHeight="1">
      <c r="A2" s="925" t="s">
        <v>330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637"/>
      <c r="V2" s="637"/>
      <c r="W2" s="147"/>
      <c r="X2" s="147"/>
    </row>
    <row r="3" spans="1:24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658"/>
      <c r="V3" s="658"/>
      <c r="W3" s="147"/>
      <c r="X3" s="147"/>
    </row>
    <row r="4" spans="1:23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30" t="s">
        <v>307</v>
      </c>
      <c r="N4" s="931"/>
      <c r="O4" s="931"/>
      <c r="P4" s="931"/>
      <c r="Q4" s="931"/>
      <c r="R4" s="932"/>
      <c r="S4" s="912" t="s">
        <v>43</v>
      </c>
      <c r="T4" s="918" t="s">
        <v>14</v>
      </c>
      <c r="U4" s="912" t="s">
        <v>329</v>
      </c>
      <c r="V4" s="913" t="s">
        <v>313</v>
      </c>
      <c r="W4" s="150"/>
    </row>
    <row r="5" spans="1:24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2"/>
      <c r="T5" s="918"/>
      <c r="U5" s="912"/>
      <c r="V5" s="913"/>
      <c r="W5" s="152"/>
      <c r="X5" s="153"/>
    </row>
    <row r="6" spans="1:24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2"/>
      <c r="T6" s="918"/>
      <c r="U6" s="912"/>
      <c r="V6" s="913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763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28.919999999999998</v>
      </c>
      <c r="N8" s="465">
        <v>5.1</v>
      </c>
      <c r="O8" s="465">
        <v>16.52</v>
      </c>
      <c r="P8" s="465">
        <v>7.3</v>
      </c>
      <c r="Q8" s="465"/>
      <c r="R8" s="616">
        <v>6440.65</v>
      </c>
      <c r="S8" s="549">
        <f aca="true" t="shared" si="0" ref="S8:S20">+M8/G8</f>
        <v>0.830318690783807</v>
      </c>
      <c r="T8" s="688" t="s">
        <v>311</v>
      </c>
      <c r="U8" s="760">
        <v>4</v>
      </c>
      <c r="V8" s="761">
        <f>+M8+U8</f>
        <v>32.92</v>
      </c>
      <c r="W8" s="762"/>
    </row>
    <row r="9" spans="1:22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48">
        <f aca="true" t="shared" si="2" ref="M9:M19">SUM(N9:Q9)</f>
        <v>24.002</v>
      </c>
      <c r="N9" s="342">
        <v>9.83</v>
      </c>
      <c r="O9" s="690">
        <v>10.67</v>
      </c>
      <c r="P9" s="342">
        <v>3.502</v>
      </c>
      <c r="Q9" s="342"/>
      <c r="R9" s="647">
        <v>3868.88</v>
      </c>
      <c r="S9" s="604">
        <f t="shared" si="0"/>
        <v>0.41569822823394936</v>
      </c>
      <c r="T9" s="645" t="s">
        <v>314</v>
      </c>
      <c r="U9" s="756"/>
      <c r="V9" s="646">
        <f aca="true" t="shared" si="3" ref="V9:V19">+M9+U9</f>
        <v>24.002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>SUM(N10:Q10)</f>
        <v>27.4</v>
      </c>
      <c r="N10" s="471">
        <v>4.59</v>
      </c>
      <c r="O10" s="471">
        <v>14.35</v>
      </c>
      <c r="P10" s="471">
        <v>8.46</v>
      </c>
      <c r="Q10" s="471"/>
      <c r="R10" s="618">
        <v>4489</v>
      </c>
      <c r="S10" s="604">
        <f t="shared" si="0"/>
        <v>0.6372093023255814</v>
      </c>
      <c r="T10" s="473"/>
      <c r="U10" s="756"/>
      <c r="V10" s="646">
        <f t="shared" si="3"/>
        <v>27.4</v>
      </c>
      <c r="Y10" s="77"/>
    </row>
    <row r="11" spans="1:22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2"/>
        <v>26.330000000000002</v>
      </c>
      <c r="N11" s="506">
        <v>12.47</v>
      </c>
      <c r="O11" s="475">
        <v>5.22</v>
      </c>
      <c r="P11" s="475">
        <v>8.64</v>
      </c>
      <c r="Q11" s="475"/>
      <c r="R11" s="619">
        <v>1181</v>
      </c>
      <c r="S11" s="563">
        <f t="shared" si="0"/>
        <v>0.43883333333333335</v>
      </c>
      <c r="T11" s="645" t="s">
        <v>310</v>
      </c>
      <c r="U11" s="757">
        <v>4.5</v>
      </c>
      <c r="V11" s="646">
        <f t="shared" si="3"/>
        <v>30.830000000000002</v>
      </c>
    </row>
    <row r="12" spans="1:22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2"/>
        <v>64.58</v>
      </c>
      <c r="N12" s="475">
        <v>14.5</v>
      </c>
      <c r="O12" s="475">
        <v>42.4</v>
      </c>
      <c r="P12" s="475">
        <v>6.38</v>
      </c>
      <c r="Q12" s="475">
        <v>1.3</v>
      </c>
      <c r="R12" s="619">
        <v>9188.4</v>
      </c>
      <c r="S12" s="563">
        <f t="shared" si="0"/>
        <v>0.765447024380993</v>
      </c>
      <c r="T12" s="476" t="s">
        <v>309</v>
      </c>
      <c r="U12" s="757"/>
      <c r="V12" s="646">
        <f t="shared" si="3"/>
        <v>64.58</v>
      </c>
    </row>
    <row r="13" spans="1:22" s="765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2"/>
        <v>42.629999999999995</v>
      </c>
      <c r="N13" s="475">
        <v>3.75</v>
      </c>
      <c r="O13" s="475">
        <v>22.23</v>
      </c>
      <c r="P13" s="475">
        <v>16.65</v>
      </c>
      <c r="Q13" s="475"/>
      <c r="R13" s="619">
        <v>5339</v>
      </c>
      <c r="S13" s="563">
        <f t="shared" si="0"/>
        <v>0.4806629834254143</v>
      </c>
      <c r="T13" s="476"/>
      <c r="U13" s="764"/>
      <c r="V13" s="761">
        <f t="shared" si="3"/>
        <v>42.629999999999995</v>
      </c>
    </row>
    <row r="14" spans="1:22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2"/>
        <v>60.86</v>
      </c>
      <c r="N14" s="471">
        <v>8.82</v>
      </c>
      <c r="O14" s="471">
        <v>28.82</v>
      </c>
      <c r="P14" s="471">
        <v>23.22</v>
      </c>
      <c r="Q14" s="471"/>
      <c r="R14" s="618">
        <v>7406</v>
      </c>
      <c r="S14" s="604">
        <f t="shared" si="0"/>
        <v>0.45649564956495653</v>
      </c>
      <c r="T14" s="473" t="s">
        <v>328</v>
      </c>
      <c r="U14" s="756">
        <v>2.25</v>
      </c>
      <c r="V14" s="646">
        <f t="shared" si="3"/>
        <v>63.11</v>
      </c>
    </row>
    <row r="15" spans="1:22" s="765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2"/>
        <v>50.32</v>
      </c>
      <c r="N15" s="471">
        <v>8.39</v>
      </c>
      <c r="O15" s="471">
        <v>35.33</v>
      </c>
      <c r="P15" s="471">
        <v>6.6</v>
      </c>
      <c r="Q15" s="471"/>
      <c r="R15" s="618">
        <v>7149.6</v>
      </c>
      <c r="S15" s="604">
        <f t="shared" si="0"/>
        <v>0.5353191489361702</v>
      </c>
      <c r="T15" s="476" t="s">
        <v>312</v>
      </c>
      <c r="U15" s="766">
        <v>26.6</v>
      </c>
      <c r="V15" s="761">
        <f t="shared" si="3"/>
        <v>76.92</v>
      </c>
    </row>
    <row r="16" spans="1:22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 t="shared" si="2"/>
        <v>14.674999999999999</v>
      </c>
      <c r="N16" s="471">
        <v>4.378</v>
      </c>
      <c r="O16" s="471">
        <v>9.597</v>
      </c>
      <c r="P16" s="471">
        <v>0.7</v>
      </c>
      <c r="Q16" s="471"/>
      <c r="R16" s="618">
        <v>2381</v>
      </c>
      <c r="S16" s="604">
        <f t="shared" si="0"/>
        <v>0.38057572614107876</v>
      </c>
      <c r="T16" s="473" t="s">
        <v>320</v>
      </c>
      <c r="U16" s="756">
        <v>1.3</v>
      </c>
      <c r="V16" s="646">
        <f t="shared" si="3"/>
        <v>15.975</v>
      </c>
    </row>
    <row r="17" spans="1:22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2"/>
        <v>46.46</v>
      </c>
      <c r="N17" s="471">
        <v>20.8</v>
      </c>
      <c r="O17" s="471">
        <v>24.66</v>
      </c>
      <c r="P17" s="471">
        <v>1</v>
      </c>
      <c r="Q17" s="471"/>
      <c r="R17" s="618">
        <v>7328.5</v>
      </c>
      <c r="S17" s="563">
        <f t="shared" si="0"/>
        <v>0.5046708668259832</v>
      </c>
      <c r="T17" s="476" t="s">
        <v>319</v>
      </c>
      <c r="U17" s="757">
        <v>12</v>
      </c>
      <c r="V17" s="646">
        <f t="shared" si="3"/>
        <v>58.46</v>
      </c>
    </row>
    <row r="18" spans="1:22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608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563">
        <f t="shared" si="0"/>
        <v>0.5569230769230769</v>
      </c>
      <c r="T18" s="476" t="s">
        <v>322</v>
      </c>
      <c r="U18" s="757">
        <v>2</v>
      </c>
      <c r="V18" s="646">
        <f t="shared" si="3"/>
        <v>3.448</v>
      </c>
    </row>
    <row r="19" spans="1:22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8</v>
      </c>
      <c r="N19" s="585">
        <v>1.9</v>
      </c>
      <c r="O19" s="585">
        <v>0.4</v>
      </c>
      <c r="P19" s="585">
        <v>5.7</v>
      </c>
      <c r="Q19" s="624"/>
      <c r="R19" s="621">
        <v>883</v>
      </c>
      <c r="S19" s="610">
        <f t="shared" si="0"/>
        <v>0.4444444444444444</v>
      </c>
      <c r="T19" s="587"/>
      <c r="U19" s="758"/>
      <c r="V19" s="646">
        <f t="shared" si="3"/>
        <v>8</v>
      </c>
    </row>
    <row r="20" spans="1:22" ht="21.75" customHeight="1">
      <c r="A20" s="933" t="s">
        <v>23</v>
      </c>
      <c r="B20" s="934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395.62499999999994</v>
      </c>
      <c r="N20" s="480">
        <f t="shared" si="5"/>
        <v>95.20800000000001</v>
      </c>
      <c r="O20" s="481">
        <f t="shared" si="5"/>
        <v>210.19700000000003</v>
      </c>
      <c r="P20" s="481">
        <f t="shared" si="5"/>
        <v>88.92</v>
      </c>
      <c r="Q20" s="481">
        <f t="shared" si="5"/>
        <v>1.3</v>
      </c>
      <c r="R20" s="654">
        <f t="shared" si="5"/>
        <v>55721.03</v>
      </c>
      <c r="S20" s="655">
        <f t="shared" si="0"/>
        <v>0.52949938969549</v>
      </c>
      <c r="T20" s="486" t="str">
        <f>+U4&amp;U20&amp;" km"</f>
        <v>Tổng đường dự án và đường khác: 52,65 km</v>
      </c>
      <c r="U20" s="759">
        <f>+SUM(U8:U19)</f>
        <v>52.65</v>
      </c>
      <c r="V20" s="656">
        <f>SUM(V8:V19)</f>
        <v>448.275</v>
      </c>
    </row>
    <row r="21" spans="2:22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726"/>
      <c r="V21" s="657"/>
    </row>
    <row r="22" spans="2:19" ht="15">
      <c r="B22" s="162"/>
      <c r="O22" s="36"/>
      <c r="R22" s="165"/>
      <c r="S22" s="166"/>
    </row>
    <row r="23" spans="2:18" ht="15">
      <c r="B23" s="659"/>
      <c r="G23" s="167"/>
      <c r="M23" s="168"/>
      <c r="R23" s="169"/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M5:M6"/>
    <mergeCell ref="S4:S6"/>
    <mergeCell ref="T4:T6"/>
    <mergeCell ref="U4:U6"/>
    <mergeCell ref="V4:V6"/>
    <mergeCell ref="C5:C6"/>
    <mergeCell ref="D5:F5"/>
    <mergeCell ref="G5:G6"/>
    <mergeCell ref="H5:K5"/>
    <mergeCell ref="L5:L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16">
      <selection activeCell="A2" sqref="A2:AF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  <c r="AA1" s="924"/>
      <c r="AB1" s="924"/>
      <c r="AC1" s="924"/>
      <c r="AD1" s="924"/>
      <c r="AE1" s="924"/>
      <c r="AF1" s="924"/>
      <c r="AG1" s="636"/>
      <c r="AH1" s="636"/>
      <c r="AI1" s="146"/>
      <c r="AJ1" s="146"/>
    </row>
    <row r="2" spans="1:36" s="148" customFormat="1" ht="22.5" customHeight="1">
      <c r="A2" s="925" t="s">
        <v>324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  <c r="AA2" s="925"/>
      <c r="AB2" s="925"/>
      <c r="AC2" s="925"/>
      <c r="AD2" s="925"/>
      <c r="AE2" s="925"/>
      <c r="AF2" s="925"/>
      <c r="AG2" s="637"/>
      <c r="AH2" s="637"/>
      <c r="AI2" s="147"/>
      <c r="AJ2" s="147"/>
    </row>
    <row r="3" spans="1:36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658"/>
      <c r="AH3" s="658"/>
      <c r="AI3" s="147"/>
      <c r="AJ3" s="147"/>
    </row>
    <row r="4" spans="1:35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41" t="s">
        <v>323</v>
      </c>
      <c r="N4" s="942"/>
      <c r="O4" s="942"/>
      <c r="P4" s="942"/>
      <c r="Q4" s="942"/>
      <c r="R4" s="943"/>
      <c r="S4" s="930" t="s">
        <v>325</v>
      </c>
      <c r="T4" s="931"/>
      <c r="U4" s="931"/>
      <c r="V4" s="931"/>
      <c r="W4" s="931"/>
      <c r="X4" s="932"/>
      <c r="Y4" s="930" t="s">
        <v>307</v>
      </c>
      <c r="Z4" s="931"/>
      <c r="AA4" s="931"/>
      <c r="AB4" s="931"/>
      <c r="AC4" s="931"/>
      <c r="AD4" s="932"/>
      <c r="AE4" s="912" t="s">
        <v>43</v>
      </c>
      <c r="AF4" s="918" t="s">
        <v>14</v>
      </c>
      <c r="AG4" s="912" t="s">
        <v>327</v>
      </c>
      <c r="AH4" s="913" t="s">
        <v>313</v>
      </c>
      <c r="AI4" s="150"/>
    </row>
    <row r="5" spans="1:36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35" t="s">
        <v>38</v>
      </c>
      <c r="N5" s="936" t="s">
        <v>21</v>
      </c>
      <c r="O5" s="937"/>
      <c r="P5" s="937"/>
      <c r="Q5" s="938"/>
      <c r="R5" s="939" t="s">
        <v>37</v>
      </c>
      <c r="S5" s="916" t="s">
        <v>38</v>
      </c>
      <c r="T5" s="919" t="s">
        <v>21</v>
      </c>
      <c r="U5" s="920"/>
      <c r="V5" s="920"/>
      <c r="W5" s="921"/>
      <c r="X5" s="922" t="s">
        <v>37</v>
      </c>
      <c r="Y5" s="916" t="s">
        <v>38</v>
      </c>
      <c r="Z5" s="919" t="s">
        <v>21</v>
      </c>
      <c r="AA5" s="920"/>
      <c r="AB5" s="920"/>
      <c r="AC5" s="921"/>
      <c r="AD5" s="922" t="s">
        <v>37</v>
      </c>
      <c r="AE5" s="912"/>
      <c r="AF5" s="918"/>
      <c r="AG5" s="912"/>
      <c r="AH5" s="913"/>
      <c r="AI5" s="152"/>
      <c r="AJ5" s="153"/>
    </row>
    <row r="6" spans="1:36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35"/>
      <c r="N6" s="729" t="s">
        <v>39</v>
      </c>
      <c r="O6" s="729" t="s">
        <v>40</v>
      </c>
      <c r="P6" s="729" t="s">
        <v>41</v>
      </c>
      <c r="Q6" s="729" t="s">
        <v>42</v>
      </c>
      <c r="R6" s="940"/>
      <c r="S6" s="916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16"/>
      <c r="Z6" s="149" t="s">
        <v>39</v>
      </c>
      <c r="AA6" s="149" t="s">
        <v>40</v>
      </c>
      <c r="AB6" s="149" t="s">
        <v>41</v>
      </c>
      <c r="AC6" s="149" t="s">
        <v>42</v>
      </c>
      <c r="AD6" s="923"/>
      <c r="AE6" s="912"/>
      <c r="AF6" s="918"/>
      <c r="AG6" s="912"/>
      <c r="AH6" s="913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56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56"/>
      <c r="AH10" s="646">
        <f t="shared" si="10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57">
        <v>4.5</v>
      </c>
      <c r="AH11" s="646">
        <f t="shared" si="10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57"/>
      <c r="AH12" s="646">
        <f t="shared" si="10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57"/>
      <c r="AH13" s="646">
        <f t="shared" si="10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321</v>
      </c>
      <c r="AG14" s="756">
        <v>2.2</v>
      </c>
      <c r="AH14" s="646">
        <f t="shared" si="10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56">
        <v>26.6</v>
      </c>
      <c r="AH15" s="646">
        <f t="shared" si="10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56">
        <v>1.3</v>
      </c>
      <c r="AH16" s="646">
        <f t="shared" si="10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57">
        <v>12</v>
      </c>
      <c r="AH17" s="646">
        <f t="shared" si="10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4"/>
        <v>0</v>
      </c>
      <c r="V18" s="471">
        <f t="shared" si="5"/>
        <v>0</v>
      </c>
      <c r="W18" s="471">
        <f t="shared" si="6"/>
        <v>0</v>
      </c>
      <c r="X18" s="471">
        <f t="shared" si="7"/>
        <v>31</v>
      </c>
      <c r="Y18" s="608">
        <f t="shared" si="8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9"/>
        <v>0.5569230769230769</v>
      </c>
      <c r="AF18" s="476" t="s">
        <v>322</v>
      </c>
      <c r="AG18" s="757">
        <v>2</v>
      </c>
      <c r="AH18" s="646">
        <f t="shared" si="10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10"/>
        <v>8</v>
      </c>
    </row>
    <row r="20" spans="1:34" ht="21.75" customHeight="1">
      <c r="A20" s="933" t="s">
        <v>23</v>
      </c>
      <c r="B20" s="934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0">
        <f t="shared" si="11"/>
        <v>233.87199999999996</v>
      </c>
      <c r="N20" s="751">
        <f t="shared" si="11"/>
        <v>49.203</v>
      </c>
      <c r="O20" s="751">
        <f t="shared" si="11"/>
        <v>128.221</v>
      </c>
      <c r="P20" s="752">
        <f t="shared" si="11"/>
        <v>55.948</v>
      </c>
      <c r="Q20" s="752">
        <f t="shared" si="11"/>
        <v>0.5</v>
      </c>
      <c r="R20" s="753">
        <f aca="true" t="shared" si="12" ref="R20:AD20">+SUM(R8:R19)</f>
        <v>30892.311999999998</v>
      </c>
      <c r="S20" s="483">
        <f aca="true" t="shared" si="13" ref="S20:X20">+SUM(S8:S19)</f>
        <v>146.965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32.672</v>
      </c>
      <c r="W20" s="481">
        <f t="shared" si="13"/>
        <v>0.8</v>
      </c>
      <c r="X20" s="654">
        <f t="shared" si="13"/>
        <v>21260.988</v>
      </c>
      <c r="Y20" s="481">
        <f t="shared" si="12"/>
        <v>380.787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88.62</v>
      </c>
      <c r="AC20" s="481">
        <f t="shared" si="12"/>
        <v>1.3</v>
      </c>
      <c r="AD20" s="654">
        <f t="shared" si="12"/>
        <v>52153.299999999996</v>
      </c>
      <c r="AE20" s="655">
        <f>+Y20/G20</f>
        <v>0.5096404021585507</v>
      </c>
      <c r="AF20" s="486"/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911"/>
      <c r="V21" s="911"/>
      <c r="W21" s="911"/>
      <c r="X21" s="911"/>
      <c r="Y21" s="911"/>
      <c r="Z21" s="911"/>
      <c r="AA21" s="911"/>
      <c r="AB21" s="911"/>
      <c r="AC21" s="911"/>
      <c r="AD21" s="911"/>
      <c r="AE21" s="911"/>
      <c r="AF21" s="911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Y5:Y6"/>
    <mergeCell ref="Z5:AC5"/>
    <mergeCell ref="AD5:AD6"/>
    <mergeCell ref="A20:B20"/>
    <mergeCell ref="B21:AF21"/>
    <mergeCell ref="AF4:AF6"/>
    <mergeCell ref="S4:X4"/>
    <mergeCell ref="S5:S6"/>
    <mergeCell ref="T5:W5"/>
    <mergeCell ref="X5:X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7">
      <selection activeCell="G16" sqref="G16:AF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hidden="1" customWidth="1"/>
    <col min="20" max="24" width="6.625" style="26" hidden="1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  <c r="AA1" s="924"/>
      <c r="AB1" s="924"/>
      <c r="AC1" s="924"/>
      <c r="AD1" s="924"/>
      <c r="AE1" s="924"/>
      <c r="AF1" s="924"/>
      <c r="AG1" s="636"/>
      <c r="AH1" s="636"/>
      <c r="AI1" s="146"/>
      <c r="AJ1" s="146"/>
    </row>
    <row r="2" spans="1:36" s="148" customFormat="1" ht="22.5" customHeight="1">
      <c r="A2" s="925" t="s">
        <v>332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  <c r="AA2" s="925"/>
      <c r="AB2" s="925"/>
      <c r="AC2" s="925"/>
      <c r="AD2" s="925"/>
      <c r="AE2" s="925"/>
      <c r="AF2" s="925"/>
      <c r="AG2" s="637"/>
      <c r="AH2" s="637"/>
      <c r="AI2" s="147"/>
      <c r="AJ2" s="147"/>
    </row>
    <row r="3" spans="1:36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658"/>
      <c r="AH3" s="658"/>
      <c r="AI3" s="147"/>
      <c r="AJ3" s="147"/>
    </row>
    <row r="4" spans="1:35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41" t="s">
        <v>323</v>
      </c>
      <c r="N4" s="942"/>
      <c r="O4" s="942"/>
      <c r="P4" s="942"/>
      <c r="Q4" s="942"/>
      <c r="R4" s="943"/>
      <c r="S4" s="930" t="s">
        <v>325</v>
      </c>
      <c r="T4" s="931"/>
      <c r="U4" s="931"/>
      <c r="V4" s="931"/>
      <c r="W4" s="931"/>
      <c r="X4" s="932"/>
      <c r="Y4" s="930" t="s">
        <v>307</v>
      </c>
      <c r="Z4" s="931"/>
      <c r="AA4" s="931"/>
      <c r="AB4" s="931"/>
      <c r="AC4" s="931"/>
      <c r="AD4" s="932"/>
      <c r="AE4" s="912" t="s">
        <v>43</v>
      </c>
      <c r="AF4" s="918" t="s">
        <v>14</v>
      </c>
      <c r="AG4" s="912" t="s">
        <v>333</v>
      </c>
      <c r="AH4" s="913" t="s">
        <v>313</v>
      </c>
      <c r="AI4" s="150"/>
    </row>
    <row r="5" spans="1:36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35" t="s">
        <v>38</v>
      </c>
      <c r="N5" s="936" t="s">
        <v>21</v>
      </c>
      <c r="O5" s="937"/>
      <c r="P5" s="937"/>
      <c r="Q5" s="938"/>
      <c r="R5" s="939" t="s">
        <v>37</v>
      </c>
      <c r="S5" s="916" t="s">
        <v>38</v>
      </c>
      <c r="T5" s="919" t="s">
        <v>21</v>
      </c>
      <c r="U5" s="920"/>
      <c r="V5" s="920"/>
      <c r="W5" s="921"/>
      <c r="X5" s="922" t="s">
        <v>37</v>
      </c>
      <c r="Y5" s="916" t="s">
        <v>38</v>
      </c>
      <c r="Z5" s="919" t="s">
        <v>21</v>
      </c>
      <c r="AA5" s="920"/>
      <c r="AB5" s="920"/>
      <c r="AC5" s="921"/>
      <c r="AD5" s="922" t="s">
        <v>37</v>
      </c>
      <c r="AE5" s="912"/>
      <c r="AF5" s="918"/>
      <c r="AG5" s="912"/>
      <c r="AH5" s="913"/>
      <c r="AI5" s="152"/>
      <c r="AJ5" s="153"/>
    </row>
    <row r="6" spans="1:36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35"/>
      <c r="N6" s="729" t="s">
        <v>39</v>
      </c>
      <c r="O6" s="729" t="s">
        <v>40</v>
      </c>
      <c r="P6" s="729" t="s">
        <v>41</v>
      </c>
      <c r="Q6" s="729" t="s">
        <v>42</v>
      </c>
      <c r="R6" s="940"/>
      <c r="S6" s="916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16"/>
      <c r="Z6" s="149" t="s">
        <v>39</v>
      </c>
      <c r="AA6" s="149" t="s">
        <v>40</v>
      </c>
      <c r="AB6" s="149" t="s">
        <v>41</v>
      </c>
      <c r="AC6" s="149" t="s">
        <v>42</v>
      </c>
      <c r="AD6" s="923"/>
      <c r="AE6" s="912"/>
      <c r="AF6" s="918"/>
      <c r="AG6" s="912"/>
      <c r="AH6" s="913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X19">+Z9-N9</f>
        <v>2.99</v>
      </c>
      <c r="U9" s="471">
        <f t="shared" si="3"/>
        <v>2.8210000000000006</v>
      </c>
      <c r="V9" s="471">
        <f t="shared" si="3"/>
        <v>2.152</v>
      </c>
      <c r="W9" s="471">
        <f t="shared" si="3"/>
        <v>0</v>
      </c>
      <c r="X9" s="471">
        <f t="shared" si="3"/>
        <v>1355.288</v>
      </c>
      <c r="Y9" s="648">
        <f aca="true" t="shared" si="4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5" ref="AE9:AE18">+Y9/G9</f>
        <v>0.41569822823394936</v>
      </c>
      <c r="AF9" s="645" t="s">
        <v>314</v>
      </c>
      <c r="AG9" s="756"/>
      <c r="AH9" s="646">
        <f aca="true" t="shared" si="6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3"/>
        <v>8.690000000000001</v>
      </c>
      <c r="V10" s="471">
        <f t="shared" si="3"/>
        <v>4.120000000000001</v>
      </c>
      <c r="W10" s="471">
        <f t="shared" si="3"/>
        <v>0</v>
      </c>
      <c r="X10" s="471">
        <f t="shared" si="3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5"/>
        <v>0.6074418604651163</v>
      </c>
      <c r="AF10" s="473"/>
      <c r="AG10" s="756"/>
      <c r="AH10" s="646">
        <f t="shared" si="6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3"/>
        <v>0.1200000000000001</v>
      </c>
      <c r="V11" s="471">
        <f t="shared" si="3"/>
        <v>1.6199999999999992</v>
      </c>
      <c r="W11" s="471">
        <f t="shared" si="3"/>
        <v>0</v>
      </c>
      <c r="X11" s="471">
        <f t="shared" si="3"/>
        <v>558</v>
      </c>
      <c r="Y11" s="605">
        <f t="shared" si="4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5"/>
        <v>0.42383333333333334</v>
      </c>
      <c r="AF11" s="645" t="s">
        <v>310</v>
      </c>
      <c r="AG11" s="757">
        <v>4.5</v>
      </c>
      <c r="AH11" s="646">
        <f t="shared" si="6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3"/>
        <v>16.8</v>
      </c>
      <c r="V12" s="471">
        <f t="shared" si="3"/>
        <v>4.08</v>
      </c>
      <c r="W12" s="471">
        <f t="shared" si="3"/>
        <v>0.8</v>
      </c>
      <c r="X12" s="471">
        <f t="shared" si="3"/>
        <v>2831.3999999999996</v>
      </c>
      <c r="Y12" s="605">
        <f t="shared" si="4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5"/>
        <v>0.7358152876056372</v>
      </c>
      <c r="AF12" s="476" t="s">
        <v>309</v>
      </c>
      <c r="AG12" s="757"/>
      <c r="AH12" s="646">
        <f t="shared" si="6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3"/>
        <v>4.356000000000002</v>
      </c>
      <c r="V13" s="471">
        <f t="shared" si="3"/>
        <v>2.429999999999998</v>
      </c>
      <c r="W13" s="471">
        <f t="shared" si="3"/>
        <v>0</v>
      </c>
      <c r="X13" s="471">
        <f t="shared" si="3"/>
        <v>1262</v>
      </c>
      <c r="Y13" s="605">
        <f t="shared" si="4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5"/>
        <v>0.4806629834254143</v>
      </c>
      <c r="AF13" s="476"/>
      <c r="AG13" s="757"/>
      <c r="AH13" s="646">
        <f t="shared" si="6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3"/>
        <v>9.440000000000001</v>
      </c>
      <c r="V14" s="471">
        <f t="shared" si="3"/>
        <v>12.969999999999999</v>
      </c>
      <c r="W14" s="471">
        <f t="shared" si="3"/>
        <v>0</v>
      </c>
      <c r="X14" s="471">
        <f t="shared" si="3"/>
        <v>3666.95</v>
      </c>
      <c r="Y14" s="603">
        <f t="shared" si="4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5"/>
        <v>0.45649564956495653</v>
      </c>
      <c r="AF14" s="473" t="s">
        <v>321</v>
      </c>
      <c r="AG14" s="756">
        <v>2.2</v>
      </c>
      <c r="AH14" s="646">
        <f t="shared" si="6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3"/>
        <v>11.049999999999997</v>
      </c>
      <c r="V15" s="471">
        <f t="shared" si="3"/>
        <v>1.6999999999999993</v>
      </c>
      <c r="W15" s="471">
        <f t="shared" si="3"/>
        <v>0</v>
      </c>
      <c r="X15" s="471">
        <f t="shared" si="3"/>
        <v>2106.6000000000004</v>
      </c>
      <c r="Y15" s="603">
        <f t="shared" si="4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5"/>
        <v>0.5353191489361702</v>
      </c>
      <c r="AF15" s="476" t="s">
        <v>312</v>
      </c>
      <c r="AG15" s="756">
        <v>26.6</v>
      </c>
      <c r="AH15" s="646">
        <f t="shared" si="6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3"/>
        <v>5.26</v>
      </c>
      <c r="V16" s="471">
        <f t="shared" si="3"/>
        <v>0.7</v>
      </c>
      <c r="W16" s="471">
        <f t="shared" si="3"/>
        <v>0</v>
      </c>
      <c r="X16" s="471">
        <f t="shared" si="3"/>
        <v>1048.9</v>
      </c>
      <c r="Y16" s="603">
        <f t="shared" si="4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5"/>
        <v>0.21602697095435683</v>
      </c>
      <c r="AF16" s="476" t="s">
        <v>320</v>
      </c>
      <c r="AG16" s="756">
        <v>1.3</v>
      </c>
      <c r="AH16" s="646">
        <f t="shared" si="6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3"/>
        <v>10.54</v>
      </c>
      <c r="V17" s="471">
        <f t="shared" si="3"/>
        <v>1</v>
      </c>
      <c r="W17" s="471">
        <f t="shared" si="3"/>
        <v>0</v>
      </c>
      <c r="X17" s="471">
        <f t="shared" si="3"/>
        <v>4291.2</v>
      </c>
      <c r="Y17" s="603">
        <f t="shared" si="4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5"/>
        <v>0.4813165326960679</v>
      </c>
      <c r="AF17" s="476" t="s">
        <v>319</v>
      </c>
      <c r="AG17" s="757">
        <v>12</v>
      </c>
      <c r="AH17" s="646">
        <f t="shared" si="6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3"/>
        <v>0</v>
      </c>
      <c r="V18" s="471">
        <f t="shared" si="3"/>
        <v>0</v>
      </c>
      <c r="W18" s="471">
        <f t="shared" si="3"/>
        <v>0</v>
      </c>
      <c r="X18" s="471">
        <f t="shared" si="3"/>
        <v>31</v>
      </c>
      <c r="Y18" s="608">
        <f t="shared" si="4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5"/>
        <v>0.5569230769230769</v>
      </c>
      <c r="AF18" s="476" t="s">
        <v>322</v>
      </c>
      <c r="AG18" s="757">
        <v>2</v>
      </c>
      <c r="AH18" s="646">
        <f t="shared" si="6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3"/>
        <v>0.2</v>
      </c>
      <c r="V19" s="493">
        <f t="shared" si="3"/>
        <v>1.9000000000000004</v>
      </c>
      <c r="W19" s="493">
        <f t="shared" si="3"/>
        <v>0</v>
      </c>
      <c r="X19" s="493">
        <f t="shared" si="3"/>
        <v>243</v>
      </c>
      <c r="Y19" s="584">
        <f t="shared" si="4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6"/>
        <v>8</v>
      </c>
    </row>
    <row r="20" spans="1:34" ht="21.75" customHeight="1">
      <c r="A20" s="933" t="s">
        <v>23</v>
      </c>
      <c r="B20" s="934"/>
      <c r="C20" s="478">
        <f aca="true" t="shared" si="7" ref="C20:Q20">+SUM(C8:C19)</f>
        <v>976.8000000000001</v>
      </c>
      <c r="D20" s="479">
        <f t="shared" si="7"/>
        <v>369.9</v>
      </c>
      <c r="E20" s="479">
        <f t="shared" si="7"/>
        <v>358.7</v>
      </c>
      <c r="F20" s="479">
        <f t="shared" si="7"/>
        <v>248.19999999999996</v>
      </c>
      <c r="G20" s="359">
        <f t="shared" si="7"/>
        <v>747.168</v>
      </c>
      <c r="H20" s="652">
        <f t="shared" si="7"/>
        <v>231.515</v>
      </c>
      <c r="I20" s="652">
        <f t="shared" si="7"/>
        <v>317.46799999999996</v>
      </c>
      <c r="J20" s="652">
        <f t="shared" si="7"/>
        <v>195.055</v>
      </c>
      <c r="K20" s="652">
        <f>+SUM(K8:K19)</f>
        <v>3.13</v>
      </c>
      <c r="L20" s="653">
        <f t="shared" si="7"/>
        <v>108098.62800000001</v>
      </c>
      <c r="M20" s="750">
        <f t="shared" si="7"/>
        <v>233.87199999999996</v>
      </c>
      <c r="N20" s="751">
        <f t="shared" si="7"/>
        <v>49.203</v>
      </c>
      <c r="O20" s="751">
        <f t="shared" si="7"/>
        <v>128.221</v>
      </c>
      <c r="P20" s="752">
        <f t="shared" si="7"/>
        <v>55.948</v>
      </c>
      <c r="Q20" s="752">
        <f t="shared" si="7"/>
        <v>0.5</v>
      </c>
      <c r="R20" s="753">
        <f aca="true" t="shared" si="8" ref="R20:AD20">+SUM(R8:R19)</f>
        <v>30892.311999999998</v>
      </c>
      <c r="S20" s="483">
        <f aca="true" t="shared" si="9" ref="S20:X20">+SUM(S8:S19)</f>
        <v>146.965</v>
      </c>
      <c r="T20" s="480">
        <f t="shared" si="9"/>
        <v>40.684000000000005</v>
      </c>
      <c r="U20" s="480">
        <f t="shared" si="9"/>
        <v>72.809</v>
      </c>
      <c r="V20" s="481">
        <f t="shared" si="9"/>
        <v>32.672</v>
      </c>
      <c r="W20" s="481">
        <f t="shared" si="9"/>
        <v>0.8</v>
      </c>
      <c r="X20" s="654">
        <f t="shared" si="9"/>
        <v>21260.988</v>
      </c>
      <c r="Y20" s="481">
        <f t="shared" si="8"/>
        <v>380.787</v>
      </c>
      <c r="Z20" s="480">
        <f t="shared" si="8"/>
        <v>89.83700000000002</v>
      </c>
      <c r="AA20" s="481">
        <f t="shared" si="8"/>
        <v>201.03</v>
      </c>
      <c r="AB20" s="481">
        <f t="shared" si="8"/>
        <v>88.62</v>
      </c>
      <c r="AC20" s="481">
        <f t="shared" si="8"/>
        <v>1.3</v>
      </c>
      <c r="AD20" s="654">
        <f t="shared" si="8"/>
        <v>52153.299999999996</v>
      </c>
      <c r="AE20" s="655">
        <f>+Y20/G20</f>
        <v>0.5096404021585507</v>
      </c>
      <c r="AF20" s="486" t="str">
        <f>+AG4&amp;AG20&amp;" km"</f>
        <v>Đường dự án và đường khác: 52,6 km</v>
      </c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911"/>
      <c r="V21" s="911"/>
      <c r="W21" s="911"/>
      <c r="X21" s="911"/>
      <c r="Y21" s="911"/>
      <c r="Z21" s="911"/>
      <c r="AA21" s="911"/>
      <c r="AB21" s="911"/>
      <c r="AC21" s="911"/>
      <c r="AD21" s="911"/>
      <c r="AE21" s="911"/>
      <c r="AF21" s="911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Z5:AC5"/>
    <mergeCell ref="AD5:AD6"/>
    <mergeCell ref="A20:B20"/>
    <mergeCell ref="B21:AF21"/>
    <mergeCell ref="N5:Q5"/>
    <mergeCell ref="R5:R6"/>
    <mergeCell ref="S5:S6"/>
    <mergeCell ref="T5:W5"/>
    <mergeCell ref="X5:X6"/>
    <mergeCell ref="Y5:Y6"/>
    <mergeCell ref="AE4:AE6"/>
    <mergeCell ref="AF4:AF6"/>
    <mergeCell ref="AG4:AG6"/>
    <mergeCell ref="AH4:AH6"/>
    <mergeCell ref="C5:C6"/>
    <mergeCell ref="D5:F5"/>
    <mergeCell ref="G5:G6"/>
    <mergeCell ref="H5:K5"/>
    <mergeCell ref="L5:L6"/>
    <mergeCell ref="M5:M6"/>
    <mergeCell ref="A1:AF1"/>
    <mergeCell ref="A2:AF2"/>
    <mergeCell ref="A3:AF3"/>
    <mergeCell ref="A4:A6"/>
    <mergeCell ref="B4:B6"/>
    <mergeCell ref="C4:F4"/>
    <mergeCell ref="G4:L4"/>
    <mergeCell ref="M4:R4"/>
    <mergeCell ref="S4:X4"/>
    <mergeCell ref="Y4:AD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10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  <c r="AA1" s="636"/>
      <c r="AB1" s="146"/>
      <c r="AC1" s="146"/>
    </row>
    <row r="2" spans="1:29" s="148" customFormat="1" ht="22.5" customHeight="1">
      <c r="A2" s="925" t="s">
        <v>326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  <c r="AA2" s="637"/>
      <c r="AB2" s="147"/>
      <c r="AC2" s="147"/>
    </row>
    <row r="3" spans="1:29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658"/>
      <c r="AB3" s="147"/>
      <c r="AC3" s="147"/>
    </row>
    <row r="4" spans="1:28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27"/>
      <c r="N4" s="928"/>
      <c r="O4" s="928"/>
      <c r="P4" s="928"/>
      <c r="Q4" s="928"/>
      <c r="R4" s="929"/>
      <c r="S4" s="930" t="s">
        <v>307</v>
      </c>
      <c r="T4" s="931"/>
      <c r="U4" s="931"/>
      <c r="V4" s="931"/>
      <c r="W4" s="931"/>
      <c r="X4" s="932"/>
      <c r="Y4" s="912" t="s">
        <v>43</v>
      </c>
      <c r="Z4" s="918" t="s">
        <v>14</v>
      </c>
      <c r="AA4" s="913" t="s">
        <v>313</v>
      </c>
      <c r="AB4" s="150"/>
    </row>
    <row r="5" spans="1:29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6" t="s">
        <v>38</v>
      </c>
      <c r="T5" s="919" t="s">
        <v>21</v>
      </c>
      <c r="U5" s="920"/>
      <c r="V5" s="920"/>
      <c r="W5" s="921"/>
      <c r="X5" s="922" t="s">
        <v>37</v>
      </c>
      <c r="Y5" s="912"/>
      <c r="Z5" s="918"/>
      <c r="AA5" s="913"/>
      <c r="AB5" s="152"/>
      <c r="AC5" s="153"/>
    </row>
    <row r="6" spans="1:29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6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12"/>
      <c r="Z6" s="918"/>
      <c r="AA6" s="913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646">
        <f>+S9</f>
        <v>20.5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649">
        <f>+S11+4.5</f>
        <v>29.93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649">
        <f>+S12</f>
        <v>60.5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649">
        <f>+S13</f>
        <v>37.29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/>
      <c r="AA14" s="638">
        <f>+S14</f>
        <v>52.76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47.37</v>
      </c>
      <c r="T15" s="692">
        <v>8.6</v>
      </c>
      <c r="U15" s="692">
        <v>32.12</v>
      </c>
      <c r="V15" s="692">
        <v>6.65</v>
      </c>
      <c r="W15" s="692"/>
      <c r="X15" s="699">
        <v>6873.6</v>
      </c>
      <c r="Y15" s="700">
        <f t="shared" si="3"/>
        <v>0.5039361702127659</v>
      </c>
      <c r="Z15" s="701" t="s">
        <v>312</v>
      </c>
      <c r="AA15" s="702">
        <f>+S15+26.6</f>
        <v>73.97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3"/>
      <c r="AA16" s="638">
        <f>+S16</f>
        <v>8.33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33.55</v>
      </c>
      <c r="T17" s="692">
        <v>14.03</v>
      </c>
      <c r="U17" s="692">
        <v>18.52</v>
      </c>
      <c r="V17" s="692">
        <v>1</v>
      </c>
      <c r="W17" s="692"/>
      <c r="X17" s="699">
        <v>5500</v>
      </c>
      <c r="Y17" s="704">
        <f t="shared" si="3"/>
        <v>0.36443623723658486</v>
      </c>
      <c r="Z17" s="701" t="s">
        <v>319</v>
      </c>
      <c r="AA17" s="705">
        <f>+S17+10</f>
        <v>43.55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v>0.68</v>
      </c>
      <c r="U18" s="623">
        <v>0</v>
      </c>
      <c r="V18" s="607">
        <v>0.768</v>
      </c>
      <c r="W18" s="623"/>
      <c r="X18" s="618">
        <v>66</v>
      </c>
      <c r="Y18" s="563">
        <f t="shared" si="3"/>
        <v>0.5569230769230769</v>
      </c>
      <c r="Z18" s="476" t="s">
        <v>308</v>
      </c>
      <c r="AA18" s="646">
        <f>+S18+2</f>
        <v>3.448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7.8</v>
      </c>
      <c r="T19" s="719">
        <v>1.9</v>
      </c>
      <c r="U19" s="719">
        <v>0.4</v>
      </c>
      <c r="V19" s="719">
        <v>5.5</v>
      </c>
      <c r="W19" s="720"/>
      <c r="X19" s="721">
        <v>883</v>
      </c>
      <c r="Y19" s="722">
        <f>+S19/G19</f>
        <v>0.43333333333333335</v>
      </c>
      <c r="Z19" s="723"/>
      <c r="AA19" s="724">
        <f>+S19</f>
        <v>7.8</v>
      </c>
    </row>
    <row r="20" spans="1:27" ht="21.75" customHeight="1">
      <c r="A20" s="933" t="s">
        <v>23</v>
      </c>
      <c r="B20" s="934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338.43299999999994</v>
      </c>
      <c r="T20" s="480">
        <f t="shared" si="5"/>
        <v>78.887</v>
      </c>
      <c r="U20" s="481">
        <f t="shared" si="5"/>
        <v>177.768</v>
      </c>
      <c r="V20" s="481">
        <f t="shared" si="5"/>
        <v>80.47800000000001</v>
      </c>
      <c r="W20" s="481">
        <f t="shared" si="5"/>
        <v>1.3</v>
      </c>
      <c r="X20" s="654">
        <f t="shared" si="5"/>
        <v>46445.75</v>
      </c>
      <c r="Y20" s="655">
        <f>+S20/G20</f>
        <v>0.4529543556469227</v>
      </c>
      <c r="Z20" s="486"/>
      <c r="AA20" s="656">
        <f>SUM(AA8:AA19)</f>
        <v>385.53299999999996</v>
      </c>
    </row>
    <row r="21" spans="2:27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911"/>
      <c r="V21" s="911"/>
      <c r="W21" s="911"/>
      <c r="X21" s="911"/>
      <c r="Y21" s="911"/>
      <c r="Z21" s="911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  <c r="AA1" s="636"/>
      <c r="AB1" s="146"/>
      <c r="AC1" s="146"/>
    </row>
    <row r="2" spans="1:29" s="148" customFormat="1" ht="22.5" customHeight="1">
      <c r="A2" s="925" t="s">
        <v>318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  <c r="AA2" s="637"/>
      <c r="AB2" s="147"/>
      <c r="AC2" s="147"/>
    </row>
    <row r="3" spans="1:29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658"/>
      <c r="AB3" s="147"/>
      <c r="AC3" s="147"/>
    </row>
    <row r="4" spans="1:28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27"/>
      <c r="N4" s="928"/>
      <c r="O4" s="928"/>
      <c r="P4" s="928"/>
      <c r="Q4" s="928"/>
      <c r="R4" s="929"/>
      <c r="S4" s="930" t="s">
        <v>307</v>
      </c>
      <c r="T4" s="931"/>
      <c r="U4" s="931"/>
      <c r="V4" s="931"/>
      <c r="W4" s="931"/>
      <c r="X4" s="932"/>
      <c r="Y4" s="912" t="s">
        <v>43</v>
      </c>
      <c r="Z4" s="918" t="s">
        <v>14</v>
      </c>
      <c r="AA4" s="913" t="s">
        <v>313</v>
      </c>
      <c r="AB4" s="150"/>
    </row>
    <row r="5" spans="1:29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6" t="s">
        <v>38</v>
      </c>
      <c r="T5" s="919" t="s">
        <v>21</v>
      </c>
      <c r="U5" s="920"/>
      <c r="V5" s="920"/>
      <c r="W5" s="921"/>
      <c r="X5" s="922" t="s">
        <v>37</v>
      </c>
      <c r="Y5" s="912"/>
      <c r="Z5" s="918"/>
      <c r="AA5" s="913"/>
      <c r="AB5" s="152"/>
      <c r="AC5" s="153"/>
    </row>
    <row r="6" spans="1:29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6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12"/>
      <c r="Z6" s="918"/>
      <c r="AA6" s="913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933" t="s">
        <v>23</v>
      </c>
      <c r="B20" s="934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287.94500000000005</v>
      </c>
      <c r="T20" s="480">
        <f t="shared" si="5"/>
        <v>61.696</v>
      </c>
      <c r="U20" s="481">
        <f t="shared" si="5"/>
        <v>154.721</v>
      </c>
      <c r="V20" s="481">
        <f t="shared" si="5"/>
        <v>70.22800000000001</v>
      </c>
      <c r="W20" s="481">
        <f t="shared" si="5"/>
        <v>1.3</v>
      </c>
      <c r="X20" s="654">
        <f t="shared" si="5"/>
        <v>39706.492000000006</v>
      </c>
      <c r="Y20" s="655">
        <f>+S20/G20</f>
        <v>0.3853818686025098</v>
      </c>
      <c r="Z20" s="486"/>
      <c r="AA20" s="656">
        <f>SUM(AA8:AA19)</f>
        <v>335.045</v>
      </c>
    </row>
    <row r="21" spans="2:27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911"/>
      <c r="V21" s="911"/>
      <c r="W21" s="911"/>
      <c r="X21" s="911"/>
      <c r="Y21" s="911"/>
      <c r="Z21" s="911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  <c r="AA1" s="636"/>
      <c r="AB1" s="146"/>
      <c r="AC1" s="146"/>
    </row>
    <row r="2" spans="1:29" s="148" customFormat="1" ht="22.5" customHeight="1">
      <c r="A2" s="925" t="s">
        <v>317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  <c r="AA2" s="637"/>
      <c r="AB2" s="147"/>
      <c r="AC2" s="147"/>
    </row>
    <row r="3" spans="1:29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658"/>
      <c r="AB3" s="147"/>
      <c r="AC3" s="147"/>
    </row>
    <row r="4" spans="1:28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27"/>
      <c r="N4" s="928"/>
      <c r="O4" s="928"/>
      <c r="P4" s="928"/>
      <c r="Q4" s="928"/>
      <c r="R4" s="929"/>
      <c r="S4" s="930" t="s">
        <v>307</v>
      </c>
      <c r="T4" s="931"/>
      <c r="U4" s="931"/>
      <c r="V4" s="931"/>
      <c r="W4" s="931"/>
      <c r="X4" s="932"/>
      <c r="Y4" s="912" t="s">
        <v>43</v>
      </c>
      <c r="Z4" s="918" t="s">
        <v>14</v>
      </c>
      <c r="AA4" s="913" t="s">
        <v>313</v>
      </c>
      <c r="AB4" s="150"/>
    </row>
    <row r="5" spans="1:29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6" t="s">
        <v>38</v>
      </c>
      <c r="T5" s="919" t="s">
        <v>21</v>
      </c>
      <c r="U5" s="920"/>
      <c r="V5" s="920"/>
      <c r="W5" s="921"/>
      <c r="X5" s="922" t="s">
        <v>37</v>
      </c>
      <c r="Y5" s="912"/>
      <c r="Z5" s="918"/>
      <c r="AA5" s="913"/>
      <c r="AB5" s="152"/>
      <c r="AC5" s="153"/>
    </row>
    <row r="6" spans="1:29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6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12"/>
      <c r="Z6" s="918"/>
      <c r="AA6" s="913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933" t="s">
        <v>23</v>
      </c>
      <c r="B20" s="934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269.162</v>
      </c>
      <c r="T20" s="480">
        <f t="shared" si="5"/>
        <v>56.593</v>
      </c>
      <c r="U20" s="481">
        <f t="shared" si="5"/>
        <v>148.221</v>
      </c>
      <c r="V20" s="481">
        <f t="shared" si="5"/>
        <v>63.047999999999995</v>
      </c>
      <c r="W20" s="481">
        <f t="shared" si="5"/>
        <v>1.3</v>
      </c>
      <c r="X20" s="654">
        <f t="shared" si="5"/>
        <v>38835.89199999999</v>
      </c>
      <c r="Y20" s="655">
        <f>+S20/G20</f>
        <v>0.3602429440232986</v>
      </c>
      <c r="Z20" s="486"/>
      <c r="AA20" s="656">
        <f>SUM(AA8:AA19)</f>
        <v>316.262</v>
      </c>
    </row>
    <row r="21" spans="2:27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911"/>
      <c r="V21" s="911"/>
      <c r="W21" s="911"/>
      <c r="X21" s="911"/>
      <c r="Y21" s="911"/>
      <c r="Z21" s="911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85" zoomScaleNormal="85" workbookViewId="0" topLeftCell="A1">
      <selection activeCell="G9" sqref="G9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customWidth="1"/>
    <col min="8" max="12" width="6.625" style="68" customWidth="1"/>
    <col min="13" max="13" width="6.625" style="854" customWidth="1"/>
    <col min="14" max="18" width="6.625" style="68" customWidth="1"/>
    <col min="19" max="19" width="7.125" style="68" customWidth="1"/>
    <col min="20" max="20" width="45.25390625" style="68" customWidth="1"/>
    <col min="21" max="21" width="5.50390625" style="68" customWidth="1"/>
    <col min="22" max="22" width="13.875" style="638" customWidth="1"/>
    <col min="23" max="23" width="10.625" style="68" customWidth="1"/>
    <col min="24" max="24" width="20.875" style="68" customWidth="1"/>
    <col min="25" max="27" width="9.00390625" style="68" customWidth="1"/>
    <col min="28" max="16384" width="9.00390625" style="68" customWidth="1"/>
  </cols>
  <sheetData>
    <row r="1" spans="1:24" ht="30" customHeight="1">
      <c r="A1" s="907" t="s">
        <v>36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  <c r="Q1" s="907"/>
      <c r="R1" s="907"/>
      <c r="S1" s="907"/>
      <c r="T1" s="907"/>
      <c r="U1" s="832"/>
      <c r="V1" s="832"/>
      <c r="W1" s="833"/>
      <c r="X1" s="833"/>
    </row>
    <row r="2" spans="1:24" s="569" customFormat="1" ht="22.5" customHeight="1">
      <c r="A2" s="908" t="s">
        <v>377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834"/>
      <c r="V2" s="834"/>
      <c r="W2" s="835"/>
      <c r="X2" s="835"/>
    </row>
    <row r="3" spans="1:24" s="569" customFormat="1" ht="22.5" customHeight="1">
      <c r="A3" s="909"/>
      <c r="B3" s="909"/>
      <c r="C3" s="909"/>
      <c r="D3" s="909"/>
      <c r="E3" s="909"/>
      <c r="F3" s="909"/>
      <c r="G3" s="909"/>
      <c r="H3" s="909"/>
      <c r="I3" s="909"/>
      <c r="J3" s="909"/>
      <c r="K3" s="909"/>
      <c r="L3" s="909"/>
      <c r="M3" s="909"/>
      <c r="N3" s="909"/>
      <c r="O3" s="909"/>
      <c r="P3" s="909"/>
      <c r="Q3" s="909"/>
      <c r="R3" s="909"/>
      <c r="S3" s="909"/>
      <c r="T3" s="909"/>
      <c r="U3" s="836"/>
      <c r="V3" s="836"/>
      <c r="W3" s="835"/>
      <c r="X3" s="835"/>
    </row>
    <row r="4" spans="1:23" s="838" customFormat="1" ht="46.5" customHeight="1">
      <c r="A4" s="903" t="s">
        <v>0</v>
      </c>
      <c r="B4" s="888" t="s">
        <v>1</v>
      </c>
      <c r="C4" s="900" t="s">
        <v>25</v>
      </c>
      <c r="D4" s="900"/>
      <c r="E4" s="900"/>
      <c r="F4" s="900"/>
      <c r="G4" s="889" t="s">
        <v>378</v>
      </c>
      <c r="H4" s="890"/>
      <c r="I4" s="890"/>
      <c r="J4" s="890"/>
      <c r="K4" s="890"/>
      <c r="L4" s="891"/>
      <c r="M4" s="892" t="s">
        <v>307</v>
      </c>
      <c r="N4" s="893"/>
      <c r="O4" s="893"/>
      <c r="P4" s="893"/>
      <c r="Q4" s="893"/>
      <c r="R4" s="894"/>
      <c r="S4" s="888" t="s">
        <v>43</v>
      </c>
      <c r="T4" s="903" t="s">
        <v>14</v>
      </c>
      <c r="U4" s="888" t="s">
        <v>329</v>
      </c>
      <c r="V4" s="899" t="s">
        <v>313</v>
      </c>
      <c r="W4" s="837"/>
    </row>
    <row r="5" spans="1:24" s="838" customFormat="1" ht="14.25" customHeight="1">
      <c r="A5" s="903"/>
      <c r="B5" s="888"/>
      <c r="C5" s="900" t="s">
        <v>20</v>
      </c>
      <c r="D5" s="901" t="s">
        <v>21</v>
      </c>
      <c r="E5" s="901"/>
      <c r="F5" s="901"/>
      <c r="G5" s="888" t="s">
        <v>38</v>
      </c>
      <c r="H5" s="902" t="s">
        <v>21</v>
      </c>
      <c r="I5" s="902"/>
      <c r="J5" s="902"/>
      <c r="K5" s="902"/>
      <c r="L5" s="886" t="s">
        <v>202</v>
      </c>
      <c r="M5" s="888" t="s">
        <v>38</v>
      </c>
      <c r="N5" s="904" t="s">
        <v>21</v>
      </c>
      <c r="O5" s="905"/>
      <c r="P5" s="905"/>
      <c r="Q5" s="906"/>
      <c r="R5" s="886" t="s">
        <v>37</v>
      </c>
      <c r="S5" s="888"/>
      <c r="T5" s="903"/>
      <c r="U5" s="888"/>
      <c r="V5" s="899"/>
      <c r="W5" s="839"/>
      <c r="X5" s="840"/>
    </row>
    <row r="6" spans="1:24" s="838" customFormat="1" ht="76.5">
      <c r="A6" s="903"/>
      <c r="B6" s="888"/>
      <c r="C6" s="900"/>
      <c r="D6" s="841" t="s">
        <v>17</v>
      </c>
      <c r="E6" s="841" t="s">
        <v>18</v>
      </c>
      <c r="F6" s="841" t="s">
        <v>19</v>
      </c>
      <c r="G6" s="888"/>
      <c r="H6" s="842" t="s">
        <v>39</v>
      </c>
      <c r="I6" s="842" t="s">
        <v>40</v>
      </c>
      <c r="J6" s="842" t="s">
        <v>41</v>
      </c>
      <c r="K6" s="842" t="s">
        <v>42</v>
      </c>
      <c r="L6" s="887"/>
      <c r="M6" s="888"/>
      <c r="N6" s="842" t="s">
        <v>39</v>
      </c>
      <c r="O6" s="842" t="s">
        <v>40</v>
      </c>
      <c r="P6" s="842" t="s">
        <v>41</v>
      </c>
      <c r="Q6" s="842" t="s">
        <v>42</v>
      </c>
      <c r="R6" s="887"/>
      <c r="S6" s="888"/>
      <c r="T6" s="903"/>
      <c r="U6" s="888"/>
      <c r="V6" s="899"/>
      <c r="W6" s="843"/>
      <c r="X6" s="840"/>
    </row>
    <row r="7" spans="1:24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5"/>
      <c r="T7" s="848"/>
      <c r="U7" s="845"/>
      <c r="V7" s="849"/>
      <c r="W7" s="843"/>
      <c r="X7" s="849"/>
    </row>
    <row r="8" spans="1:23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50.415</v>
      </c>
      <c r="N8" s="465">
        <v>10.227</v>
      </c>
      <c r="O8" s="465">
        <v>25.108</v>
      </c>
      <c r="P8" s="465">
        <v>15.08</v>
      </c>
      <c r="Q8" s="465"/>
      <c r="R8" s="616">
        <v>9102.05</v>
      </c>
      <c r="S8" s="549">
        <f aca="true" t="shared" si="0" ref="S8:S20">+M8/G8</f>
        <v>0.8224306688417619</v>
      </c>
      <c r="T8" s="814" t="s">
        <v>376</v>
      </c>
      <c r="U8" s="755">
        <f>4.15+3.64</f>
        <v>7.790000000000001</v>
      </c>
      <c r="V8" s="646">
        <f>+M8+U8</f>
        <v>58.205</v>
      </c>
      <c r="W8" s="71"/>
    </row>
    <row r="9" spans="1:2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646">
        <f aca="true" t="shared" si="3" ref="V9:V19">+M9+U9</f>
        <v>52.263</v>
      </c>
    </row>
    <row r="10" spans="1:25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646">
        <f t="shared" si="3"/>
        <v>58.39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26.25</v>
      </c>
      <c r="N11" s="607">
        <v>7.14</v>
      </c>
      <c r="O11" s="471">
        <v>8.5</v>
      </c>
      <c r="P11" s="471">
        <v>10.61</v>
      </c>
      <c r="Q11" s="471"/>
      <c r="R11" s="618">
        <v>1891</v>
      </c>
      <c r="S11" s="604">
        <f t="shared" si="0"/>
        <v>0.4375</v>
      </c>
      <c r="T11" s="828" t="s">
        <v>384</v>
      </c>
      <c r="U11" s="756">
        <f>6.42+11.65</f>
        <v>18.07</v>
      </c>
      <c r="V11" s="646">
        <f t="shared" si="3"/>
        <v>44.32</v>
      </c>
      <c r="X11" s="77"/>
    </row>
    <row r="12" spans="1:22" ht="38.2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82.00000000000001</v>
      </c>
      <c r="N12" s="471">
        <v>19.6</v>
      </c>
      <c r="O12" s="471">
        <v>53.3</v>
      </c>
      <c r="P12" s="471">
        <v>7.2</v>
      </c>
      <c r="Q12" s="471">
        <v>1.9</v>
      </c>
      <c r="R12" s="618">
        <v>10528</v>
      </c>
      <c r="S12" s="604">
        <f t="shared" si="0"/>
        <v>0.9714603892949807</v>
      </c>
      <c r="T12" s="828" t="s">
        <v>385</v>
      </c>
      <c r="U12" s="756">
        <f>1.73+21.67</f>
        <v>23.400000000000002</v>
      </c>
      <c r="V12" s="646">
        <f t="shared" si="3"/>
        <v>105.40000000000002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59.91499999999999</v>
      </c>
      <c r="N13" s="471">
        <v>8.389</v>
      </c>
      <c r="O13" s="471">
        <v>29.958</v>
      </c>
      <c r="P13" s="471">
        <v>21.568</v>
      </c>
      <c r="Q13" s="471"/>
      <c r="R13" s="618">
        <v>7166</v>
      </c>
      <c r="S13" s="604">
        <f t="shared" si="0"/>
        <v>0.6755553049949261</v>
      </c>
      <c r="T13" s="828" t="s">
        <v>381</v>
      </c>
      <c r="U13" s="756">
        <v>12.2</v>
      </c>
      <c r="V13" s="646">
        <f t="shared" si="3"/>
        <v>72.115</v>
      </c>
    </row>
    <row r="14" spans="1:2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0.6969039784624589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767">
        <f>SUM(N15:Q15)</f>
        <v>92.4</v>
      </c>
      <c r="N15" s="471">
        <v>17.48</v>
      </c>
      <c r="O15" s="471">
        <v>64.1</v>
      </c>
      <c r="P15" s="471">
        <v>10.82</v>
      </c>
      <c r="Q15" s="471"/>
      <c r="R15" s="618">
        <v>11209.5</v>
      </c>
      <c r="S15" s="604">
        <f t="shared" si="0"/>
        <v>0.8316083160831609</v>
      </c>
      <c r="T15" s="473" t="s">
        <v>390</v>
      </c>
      <c r="U15" s="756">
        <f>26.6+24.65</f>
        <v>51.25</v>
      </c>
      <c r="V15" s="646">
        <f t="shared" si="3"/>
        <v>143.65</v>
      </c>
    </row>
    <row r="16" spans="1:22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6495.77</v>
      </c>
      <c r="S16" s="604">
        <f t="shared" si="0"/>
        <v>0.864793678665496</v>
      </c>
      <c r="T16" s="473" t="s">
        <v>386</v>
      </c>
      <c r="U16" s="756">
        <f>1+12.1</f>
        <v>13.1</v>
      </c>
      <c r="V16" s="646">
        <f t="shared" si="3"/>
        <v>52.5</v>
      </c>
    </row>
    <row r="17" spans="1:2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387</v>
      </c>
      <c r="U17" s="756">
        <f>13.49+6.95</f>
        <v>20.44</v>
      </c>
      <c r="V17" s="646">
        <f t="shared" si="3"/>
        <v>114.07300000000001</v>
      </c>
    </row>
    <row r="18" spans="1:2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388</v>
      </c>
      <c r="U18" s="756">
        <v>5.13</v>
      </c>
      <c r="V18" s="646">
        <f t="shared" si="3"/>
        <v>6.57</v>
      </c>
    </row>
    <row r="19" spans="1:2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375</v>
      </c>
      <c r="U19" s="758">
        <v>5.76</v>
      </c>
      <c r="V19" s="646">
        <f t="shared" si="3"/>
        <v>20.659999999999997</v>
      </c>
    </row>
    <row r="20" spans="1:22" ht="21.75" customHeight="1">
      <c r="A20" s="895" t="s">
        <v>23</v>
      </c>
      <c r="B20" s="896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811.006</v>
      </c>
      <c r="H20" s="818">
        <f t="shared" si="4"/>
        <v>223.464</v>
      </c>
      <c r="I20" s="818">
        <f t="shared" si="4"/>
        <v>388.9069999999999</v>
      </c>
      <c r="J20" s="818">
        <f t="shared" si="4"/>
        <v>195.505</v>
      </c>
      <c r="K20" s="818">
        <f>+SUM(K8:K19)</f>
        <v>3.13</v>
      </c>
      <c r="L20" s="819">
        <f t="shared" si="4"/>
        <v>117411.11799999999</v>
      </c>
      <c r="M20" s="820">
        <f aca="true" t="shared" si="5" ref="M20:R20">+SUM(M8:M19)</f>
        <v>623.8260000000001</v>
      </c>
      <c r="N20" s="821">
        <f t="shared" si="5"/>
        <v>151.059</v>
      </c>
      <c r="O20" s="820">
        <f t="shared" si="5"/>
        <v>345.18100000000004</v>
      </c>
      <c r="P20" s="820">
        <f t="shared" si="5"/>
        <v>124.38600000000002</v>
      </c>
      <c r="Q20" s="820">
        <f t="shared" si="5"/>
        <v>3.2</v>
      </c>
      <c r="R20" s="822">
        <f t="shared" si="5"/>
        <v>83419.98</v>
      </c>
      <c r="S20" s="823">
        <f t="shared" si="0"/>
        <v>0.7692002278651454</v>
      </c>
      <c r="T20" s="824" t="str">
        <f>+U4&amp;U20&amp;" km"</f>
        <v>Tổng đường dự án và đường khác: 215,97 km</v>
      </c>
      <c r="U20" s="825">
        <f>+SUM(U8:U19)</f>
        <v>215.96999999999997</v>
      </c>
      <c r="V20" s="850">
        <f>SUM(V8:V19)</f>
        <v>839.796</v>
      </c>
    </row>
    <row r="21" spans="2:22" ht="30" customHeight="1">
      <c r="B21" s="897" t="s">
        <v>48</v>
      </c>
      <c r="C21" s="898"/>
      <c r="D21" s="898"/>
      <c r="E21" s="898"/>
      <c r="F21" s="898"/>
      <c r="G21" s="898"/>
      <c r="H21" s="898"/>
      <c r="I21" s="898"/>
      <c r="J21" s="898"/>
      <c r="K21" s="898"/>
      <c r="L21" s="898"/>
      <c r="M21" s="898"/>
      <c r="N21" s="898"/>
      <c r="O21" s="898"/>
      <c r="P21" s="898"/>
      <c r="Q21" s="898"/>
      <c r="R21" s="898"/>
      <c r="S21" s="898"/>
      <c r="T21" s="898"/>
      <c r="U21" s="851"/>
      <c r="V21" s="852"/>
    </row>
    <row r="22" spans="2:22" ht="15">
      <c r="B22" s="853"/>
      <c r="O22" s="77"/>
      <c r="R22" s="855"/>
      <c r="S22" s="856"/>
      <c r="V22" s="857"/>
    </row>
    <row r="23" spans="2:18" ht="15">
      <c r="B23" s="858"/>
      <c r="G23" s="859"/>
      <c r="M23" s="860"/>
      <c r="R23" s="861"/>
    </row>
    <row r="24" spans="12:18" ht="15">
      <c r="L24" s="862" t="s">
        <v>361</v>
      </c>
      <c r="M24" s="854">
        <f aca="true" t="shared" si="6" ref="M24:R24">+M20</f>
        <v>623.8260000000001</v>
      </c>
      <c r="N24" s="854">
        <f t="shared" si="6"/>
        <v>151.059</v>
      </c>
      <c r="O24" s="854">
        <f t="shared" si="6"/>
        <v>345.18100000000004</v>
      </c>
      <c r="P24" s="854">
        <f t="shared" si="6"/>
        <v>124.38600000000002</v>
      </c>
      <c r="Q24" s="854">
        <f t="shared" si="6"/>
        <v>3.2</v>
      </c>
      <c r="R24" s="854">
        <f t="shared" si="6"/>
        <v>83419.98</v>
      </c>
    </row>
    <row r="25" spans="12:18" ht="15">
      <c r="L25" s="862" t="s">
        <v>362</v>
      </c>
      <c r="M25" s="854">
        <f>+'10.10.2013'!M20</f>
        <v>602.704</v>
      </c>
      <c r="N25" s="854">
        <f>+'10.10.2013'!N20</f>
        <v>150.482</v>
      </c>
      <c r="O25" s="854">
        <f>+'10.10.2013'!O20</f>
        <v>330.648</v>
      </c>
      <c r="P25" s="854">
        <f>+'10.10.2013'!P20</f>
        <v>118.37400000000002</v>
      </c>
      <c r="Q25" s="854">
        <f>+'10.10.2013'!Q20</f>
        <v>3.2</v>
      </c>
      <c r="R25" s="854">
        <f>+'10.10.2013'!R20</f>
        <v>82640.01</v>
      </c>
    </row>
    <row r="26" spans="12:18" ht="15">
      <c r="L26" s="862" t="s">
        <v>363</v>
      </c>
      <c r="M26" s="854">
        <f aca="true" t="shared" si="7" ref="M26:R26">+M20-M25</f>
        <v>21.122000000000185</v>
      </c>
      <c r="N26" s="854">
        <f t="shared" si="7"/>
        <v>0.5769999999999982</v>
      </c>
      <c r="O26" s="854">
        <f t="shared" si="7"/>
        <v>14.533000000000015</v>
      </c>
      <c r="P26" s="854">
        <f t="shared" si="7"/>
        <v>6.0120000000000005</v>
      </c>
      <c r="Q26" s="854">
        <f t="shared" si="7"/>
        <v>0</v>
      </c>
      <c r="R26" s="854">
        <f t="shared" si="7"/>
        <v>779.9700000000012</v>
      </c>
    </row>
    <row r="32" spans="7:10" ht="15">
      <c r="G32" s="863"/>
      <c r="H32" s="863"/>
      <c r="I32" s="863"/>
      <c r="J32" s="863"/>
    </row>
    <row r="33" ht="15">
      <c r="B33" s="68" t="s">
        <v>6</v>
      </c>
    </row>
    <row r="34" spans="2:10" ht="15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</row>
    <row r="35" spans="2:10" ht="15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</row>
    <row r="36" spans="2:11" ht="15">
      <c r="B36" s="68" t="s">
        <v>354</v>
      </c>
      <c r="G36" s="863">
        <f>SUM(H36:J36)</f>
        <v>6.415</v>
      </c>
      <c r="H36" s="68">
        <v>4.005</v>
      </c>
      <c r="I36" s="68">
        <v>2.1</v>
      </c>
      <c r="J36" s="68">
        <v>0.31</v>
      </c>
      <c r="K36" s="77"/>
    </row>
    <row r="37" spans="2:10" ht="15">
      <c r="B37" s="68" t="s">
        <v>353</v>
      </c>
      <c r="G37" s="863">
        <f>SUM(H37:J37)</f>
        <v>10.27</v>
      </c>
      <c r="H37" s="77">
        <v>6.9</v>
      </c>
      <c r="I37" s="77">
        <v>0.1</v>
      </c>
      <c r="J37" s="77">
        <v>3.27</v>
      </c>
    </row>
    <row r="38" spans="2:10" ht="15">
      <c r="B38" s="68" t="s">
        <v>355</v>
      </c>
      <c r="G38" s="863">
        <f>SUM(H38:J38)</f>
        <v>26.245</v>
      </c>
      <c r="H38" s="77">
        <f>+H34+H36</f>
        <v>7.135</v>
      </c>
      <c r="I38" s="77">
        <f>+I34+I36</f>
        <v>8.5</v>
      </c>
      <c r="J38" s="77">
        <f>+J34+J36</f>
        <v>10.610000000000001</v>
      </c>
    </row>
    <row r="39" ht="15">
      <c r="B39" s="68">
        <v>1333</v>
      </c>
    </row>
    <row r="44" spans="13:22" ht="15">
      <c r="M44" s="638"/>
      <c r="V44" s="68"/>
    </row>
    <row r="45" spans="13:22" ht="15">
      <c r="M45" s="638"/>
      <c r="V45" s="68"/>
    </row>
    <row r="46" spans="13:22" ht="15">
      <c r="M46" s="638"/>
      <c r="V46" s="68"/>
    </row>
    <row r="47" spans="13:22" ht="15">
      <c r="M47" s="638"/>
      <c r="V47" s="68"/>
    </row>
    <row r="48" spans="13:22" ht="15">
      <c r="M48" s="638"/>
      <c r="V48" s="68"/>
    </row>
    <row r="49" spans="13:22" ht="15">
      <c r="M49" s="638"/>
      <c r="V49" s="68"/>
    </row>
    <row r="50" spans="13:22" ht="15">
      <c r="M50" s="638"/>
      <c r="V50" s="68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L5:L6"/>
    <mergeCell ref="M5:M6"/>
    <mergeCell ref="G4:L4"/>
    <mergeCell ref="M4:R4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  <c r="AA1" s="636"/>
      <c r="AB1" s="146"/>
      <c r="AC1" s="146"/>
    </row>
    <row r="2" spans="1:29" s="148" customFormat="1" ht="22.5" customHeight="1">
      <c r="A2" s="925" t="s">
        <v>306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  <c r="AA2" s="637"/>
      <c r="AB2" s="147"/>
      <c r="AC2" s="147"/>
    </row>
    <row r="3" spans="1:29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658"/>
      <c r="AB3" s="147"/>
      <c r="AC3" s="147"/>
    </row>
    <row r="4" spans="1:28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44"/>
      <c r="N4" s="945"/>
      <c r="O4" s="945"/>
      <c r="P4" s="945"/>
      <c r="Q4" s="945"/>
      <c r="R4" s="946"/>
      <c r="S4" s="930" t="s">
        <v>307</v>
      </c>
      <c r="T4" s="931"/>
      <c r="U4" s="931"/>
      <c r="V4" s="931"/>
      <c r="W4" s="931"/>
      <c r="X4" s="932"/>
      <c r="Y4" s="912" t="s">
        <v>43</v>
      </c>
      <c r="Z4" s="918" t="s">
        <v>14</v>
      </c>
      <c r="AA4" s="913" t="s">
        <v>313</v>
      </c>
      <c r="AB4" s="150"/>
    </row>
    <row r="5" spans="1:29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47" t="s">
        <v>38</v>
      </c>
      <c r="N5" s="948" t="s">
        <v>21</v>
      </c>
      <c r="O5" s="949"/>
      <c r="P5" s="949"/>
      <c r="Q5" s="950"/>
      <c r="R5" s="951" t="s">
        <v>37</v>
      </c>
      <c r="S5" s="916" t="s">
        <v>38</v>
      </c>
      <c r="T5" s="919" t="s">
        <v>21</v>
      </c>
      <c r="U5" s="920"/>
      <c r="V5" s="920"/>
      <c r="W5" s="921"/>
      <c r="X5" s="922" t="s">
        <v>37</v>
      </c>
      <c r="Y5" s="912"/>
      <c r="Z5" s="918"/>
      <c r="AA5" s="913"/>
      <c r="AB5" s="152"/>
      <c r="AC5" s="153"/>
    </row>
    <row r="6" spans="1:29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47"/>
      <c r="N6" s="660" t="s">
        <v>39</v>
      </c>
      <c r="O6" s="660" t="s">
        <v>40</v>
      </c>
      <c r="P6" s="660" t="s">
        <v>41</v>
      </c>
      <c r="Q6" s="660" t="s">
        <v>42</v>
      </c>
      <c r="R6" s="952"/>
      <c r="S6" s="916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12"/>
      <c r="Z6" s="918"/>
      <c r="AA6" s="913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933" t="s">
        <v>23</v>
      </c>
      <c r="B20" s="934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233.87199999999996</v>
      </c>
      <c r="T20" s="480">
        <f t="shared" si="5"/>
        <v>49.203</v>
      </c>
      <c r="U20" s="481">
        <f t="shared" si="5"/>
        <v>128.221</v>
      </c>
      <c r="V20" s="481">
        <f t="shared" si="5"/>
        <v>55.948</v>
      </c>
      <c r="W20" s="481">
        <f t="shared" si="5"/>
        <v>0.5</v>
      </c>
      <c r="X20" s="654">
        <f t="shared" si="5"/>
        <v>30892.311999999998</v>
      </c>
      <c r="Y20" s="655">
        <f>+S20/G20</f>
        <v>0.3130112638656901</v>
      </c>
      <c r="Z20" s="486"/>
      <c r="AA20" s="656">
        <f>SUM(AA8:AA19)</f>
        <v>270.97200000000004</v>
      </c>
    </row>
    <row r="21" spans="2:27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911"/>
      <c r="V21" s="911"/>
      <c r="W21" s="911"/>
      <c r="X21" s="911"/>
      <c r="Y21" s="911"/>
      <c r="Z21" s="911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73" t="s">
        <v>36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873"/>
      <c r="V1" s="873"/>
      <c r="W1" s="873"/>
      <c r="X1" s="873"/>
      <c r="Y1" s="873"/>
      <c r="Z1" s="873"/>
      <c r="AA1" s="9"/>
      <c r="AB1" s="9"/>
    </row>
    <row r="2" spans="1:28" s="5" customFormat="1" ht="22.5" customHeight="1">
      <c r="A2" s="953" t="s">
        <v>50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10"/>
      <c r="AB2" s="10"/>
    </row>
    <row r="3" spans="1:28" s="5" customFormat="1" ht="22.5" customHeight="1">
      <c r="A3" s="874"/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874"/>
      <c r="S3" s="874"/>
      <c r="T3" s="874"/>
      <c r="U3" s="874"/>
      <c r="V3" s="874"/>
      <c r="W3" s="874"/>
      <c r="X3" s="874"/>
      <c r="Y3" s="874"/>
      <c r="Z3" s="874"/>
      <c r="AA3" s="10"/>
      <c r="AB3" s="10"/>
    </row>
    <row r="4" spans="1:27" s="3" customFormat="1" ht="46.5" customHeight="1">
      <c r="A4" s="954" t="s">
        <v>0</v>
      </c>
      <c r="B4" s="955" t="s">
        <v>1</v>
      </c>
      <c r="C4" s="878" t="s">
        <v>25</v>
      </c>
      <c r="D4" s="878"/>
      <c r="E4" s="878"/>
      <c r="F4" s="878"/>
      <c r="G4" s="957" t="s">
        <v>26</v>
      </c>
      <c r="H4" s="958"/>
      <c r="I4" s="958"/>
      <c r="J4" s="958"/>
      <c r="K4" s="958"/>
      <c r="L4" s="959"/>
      <c r="M4" s="957" t="s">
        <v>44</v>
      </c>
      <c r="N4" s="958"/>
      <c r="O4" s="958"/>
      <c r="P4" s="958"/>
      <c r="Q4" s="958"/>
      <c r="R4" s="959"/>
      <c r="S4" s="965" t="s">
        <v>45</v>
      </c>
      <c r="T4" s="966"/>
      <c r="U4" s="966"/>
      <c r="V4" s="966"/>
      <c r="W4" s="966"/>
      <c r="X4" s="967"/>
      <c r="Y4" s="956" t="s">
        <v>43</v>
      </c>
      <c r="Z4" s="954" t="s">
        <v>14</v>
      </c>
      <c r="AA4" s="7"/>
    </row>
    <row r="5" spans="1:28" s="3" customFormat="1" ht="14.25" customHeight="1">
      <c r="A5" s="954"/>
      <c r="B5" s="955"/>
      <c r="C5" s="878" t="s">
        <v>20</v>
      </c>
      <c r="D5" s="880" t="s">
        <v>21</v>
      </c>
      <c r="E5" s="880"/>
      <c r="F5" s="880"/>
      <c r="G5" s="955" t="s">
        <v>38</v>
      </c>
      <c r="H5" s="964" t="s">
        <v>21</v>
      </c>
      <c r="I5" s="964"/>
      <c r="J5" s="964"/>
      <c r="K5" s="964"/>
      <c r="L5" s="960" t="s">
        <v>202</v>
      </c>
      <c r="M5" s="955" t="s">
        <v>38</v>
      </c>
      <c r="N5" s="970" t="s">
        <v>21</v>
      </c>
      <c r="O5" s="971"/>
      <c r="P5" s="971"/>
      <c r="Q5" s="972"/>
      <c r="R5" s="960" t="s">
        <v>37</v>
      </c>
      <c r="S5" s="955" t="s">
        <v>38</v>
      </c>
      <c r="T5" s="970" t="s">
        <v>21</v>
      </c>
      <c r="U5" s="971"/>
      <c r="V5" s="971"/>
      <c r="W5" s="972"/>
      <c r="X5" s="960" t="s">
        <v>37</v>
      </c>
      <c r="Y5" s="956"/>
      <c r="Z5" s="954"/>
      <c r="AA5" s="6"/>
      <c r="AB5" s="4"/>
    </row>
    <row r="6" spans="1:28" s="3" customFormat="1" ht="73.5" customHeight="1">
      <c r="A6" s="954"/>
      <c r="B6" s="955"/>
      <c r="C6" s="878"/>
      <c r="D6" s="8" t="s">
        <v>17</v>
      </c>
      <c r="E6" s="8" t="s">
        <v>18</v>
      </c>
      <c r="F6" s="8" t="s">
        <v>19</v>
      </c>
      <c r="G6" s="955"/>
      <c r="H6" s="39" t="s">
        <v>39</v>
      </c>
      <c r="I6" s="39" t="s">
        <v>40</v>
      </c>
      <c r="J6" s="39" t="s">
        <v>41</v>
      </c>
      <c r="K6" s="39" t="s">
        <v>42</v>
      </c>
      <c r="L6" s="961"/>
      <c r="M6" s="955"/>
      <c r="N6" s="39" t="s">
        <v>39</v>
      </c>
      <c r="O6" s="39" t="s">
        <v>40</v>
      </c>
      <c r="P6" s="39" t="s">
        <v>41</v>
      </c>
      <c r="Q6" s="39" t="s">
        <v>42</v>
      </c>
      <c r="R6" s="961"/>
      <c r="S6" s="955"/>
      <c r="T6" s="39" t="s">
        <v>39</v>
      </c>
      <c r="U6" s="39" t="s">
        <v>40</v>
      </c>
      <c r="V6" s="39" t="s">
        <v>41</v>
      </c>
      <c r="W6" s="39" t="s">
        <v>42</v>
      </c>
      <c r="X6" s="961"/>
      <c r="Y6" s="956"/>
      <c r="Z6" s="954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962" t="s">
        <v>23</v>
      </c>
      <c r="B20" s="963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968" t="s">
        <v>48</v>
      </c>
      <c r="C21" s="969"/>
      <c r="D21" s="969"/>
      <c r="E21" s="969"/>
      <c r="F21" s="969"/>
      <c r="G21" s="969"/>
      <c r="H21" s="969"/>
      <c r="I21" s="969"/>
      <c r="J21" s="969"/>
      <c r="K21" s="969"/>
      <c r="L21" s="969"/>
      <c r="M21" s="969"/>
      <c r="N21" s="969"/>
      <c r="O21" s="969"/>
      <c r="P21" s="969"/>
      <c r="Q21" s="969"/>
      <c r="R21" s="969"/>
      <c r="S21" s="969"/>
      <c r="T21" s="969"/>
      <c r="U21" s="969"/>
      <c r="V21" s="969"/>
      <c r="W21" s="969"/>
      <c r="X21" s="969"/>
      <c r="Y21" s="969"/>
      <c r="Z21" s="969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B21:Z21"/>
    <mergeCell ref="G4:L4"/>
    <mergeCell ref="M5:M6"/>
    <mergeCell ref="N5:Q5"/>
    <mergeCell ref="S5:S6"/>
    <mergeCell ref="T5:W5"/>
    <mergeCell ref="D5:F5"/>
    <mergeCell ref="G5:G6"/>
    <mergeCell ref="A3:Z3"/>
    <mergeCell ref="A20:B20"/>
    <mergeCell ref="H5:K5"/>
    <mergeCell ref="L5:L6"/>
    <mergeCell ref="S4:X4"/>
    <mergeCell ref="X5:X6"/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73" t="s">
        <v>36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873"/>
      <c r="V1" s="873"/>
      <c r="W1" s="873"/>
      <c r="X1" s="873"/>
      <c r="Y1" s="873"/>
      <c r="Z1" s="873"/>
      <c r="AA1" s="9"/>
      <c r="AB1" s="9"/>
    </row>
    <row r="2" spans="1:28" s="5" customFormat="1" ht="22.5" customHeight="1">
      <c r="A2" s="953"/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10"/>
      <c r="AB2" s="10"/>
    </row>
    <row r="3" spans="1:28" s="5" customFormat="1" ht="22.5" customHeight="1">
      <c r="A3" s="874"/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874"/>
      <c r="S3" s="874"/>
      <c r="T3" s="874"/>
      <c r="U3" s="874"/>
      <c r="V3" s="874"/>
      <c r="W3" s="874"/>
      <c r="X3" s="874"/>
      <c r="Y3" s="874"/>
      <c r="Z3" s="874"/>
      <c r="AA3" s="10"/>
      <c r="AB3" s="10"/>
    </row>
    <row r="4" spans="1:27" s="3" customFormat="1" ht="46.5" customHeight="1">
      <c r="A4" s="954" t="s">
        <v>0</v>
      </c>
      <c r="B4" s="955" t="s">
        <v>1</v>
      </c>
      <c r="C4" s="878" t="s">
        <v>25</v>
      </c>
      <c r="D4" s="878"/>
      <c r="E4" s="878"/>
      <c r="F4" s="878"/>
      <c r="G4" s="957" t="s">
        <v>26</v>
      </c>
      <c r="H4" s="958"/>
      <c r="I4" s="958"/>
      <c r="J4" s="958"/>
      <c r="K4" s="958"/>
      <c r="L4" s="959"/>
      <c r="M4" s="957" t="s">
        <v>44</v>
      </c>
      <c r="N4" s="958"/>
      <c r="O4" s="958"/>
      <c r="P4" s="958"/>
      <c r="Q4" s="958"/>
      <c r="R4" s="959"/>
      <c r="S4" s="965" t="s">
        <v>45</v>
      </c>
      <c r="T4" s="966"/>
      <c r="U4" s="966"/>
      <c r="V4" s="966"/>
      <c r="W4" s="966"/>
      <c r="X4" s="967"/>
      <c r="Y4" s="973" t="s">
        <v>43</v>
      </c>
      <c r="Z4" s="954" t="s">
        <v>14</v>
      </c>
      <c r="AA4" s="7"/>
    </row>
    <row r="5" spans="1:28" s="3" customFormat="1" ht="14.25" customHeight="1">
      <c r="A5" s="954"/>
      <c r="B5" s="955"/>
      <c r="C5" s="878" t="s">
        <v>20</v>
      </c>
      <c r="D5" s="880" t="s">
        <v>21</v>
      </c>
      <c r="E5" s="880"/>
      <c r="F5" s="880"/>
      <c r="G5" s="955" t="s">
        <v>38</v>
      </c>
      <c r="H5" s="964" t="s">
        <v>21</v>
      </c>
      <c r="I5" s="964"/>
      <c r="J5" s="964"/>
      <c r="K5" s="964"/>
      <c r="L5" s="960" t="s">
        <v>202</v>
      </c>
      <c r="M5" s="955" t="s">
        <v>38</v>
      </c>
      <c r="N5" s="970" t="s">
        <v>21</v>
      </c>
      <c r="O5" s="971"/>
      <c r="P5" s="971"/>
      <c r="Q5" s="972"/>
      <c r="R5" s="960" t="s">
        <v>37</v>
      </c>
      <c r="S5" s="955" t="s">
        <v>38</v>
      </c>
      <c r="T5" s="970" t="s">
        <v>21</v>
      </c>
      <c r="U5" s="971"/>
      <c r="V5" s="971"/>
      <c r="W5" s="972"/>
      <c r="X5" s="960" t="s">
        <v>37</v>
      </c>
      <c r="Y5" s="973"/>
      <c r="Z5" s="954"/>
      <c r="AA5" s="6"/>
      <c r="AB5" s="4"/>
    </row>
    <row r="6" spans="1:28" s="3" customFormat="1" ht="73.5" customHeight="1">
      <c r="A6" s="954"/>
      <c r="B6" s="955"/>
      <c r="C6" s="878"/>
      <c r="D6" s="8" t="s">
        <v>17</v>
      </c>
      <c r="E6" s="8" t="s">
        <v>18</v>
      </c>
      <c r="F6" s="8" t="s">
        <v>19</v>
      </c>
      <c r="G6" s="955"/>
      <c r="H6" s="39" t="s">
        <v>39</v>
      </c>
      <c r="I6" s="39" t="s">
        <v>40</v>
      </c>
      <c r="J6" s="39" t="s">
        <v>41</v>
      </c>
      <c r="K6" s="39" t="s">
        <v>42</v>
      </c>
      <c r="L6" s="961"/>
      <c r="M6" s="955"/>
      <c r="N6" s="39" t="s">
        <v>39</v>
      </c>
      <c r="O6" s="39" t="s">
        <v>40</v>
      </c>
      <c r="P6" s="39" t="s">
        <v>41</v>
      </c>
      <c r="Q6" s="39" t="s">
        <v>42</v>
      </c>
      <c r="R6" s="961"/>
      <c r="S6" s="955"/>
      <c r="T6" s="39" t="s">
        <v>39</v>
      </c>
      <c r="U6" s="39" t="s">
        <v>40</v>
      </c>
      <c r="V6" s="39" t="s">
        <v>41</v>
      </c>
      <c r="W6" s="39" t="s">
        <v>42</v>
      </c>
      <c r="X6" s="961"/>
      <c r="Y6" s="973"/>
      <c r="Z6" s="954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974" t="s">
        <v>23</v>
      </c>
      <c r="B20" s="975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968" t="s">
        <v>48</v>
      </c>
      <c r="C21" s="969"/>
      <c r="D21" s="969"/>
      <c r="E21" s="969"/>
      <c r="F21" s="969"/>
      <c r="G21" s="969"/>
      <c r="H21" s="969"/>
      <c r="I21" s="969"/>
      <c r="J21" s="969"/>
      <c r="K21" s="969"/>
      <c r="L21" s="969"/>
      <c r="M21" s="969"/>
      <c r="N21" s="969"/>
      <c r="O21" s="969"/>
      <c r="P21" s="969"/>
      <c r="Q21" s="969"/>
      <c r="R21" s="969"/>
      <c r="S21" s="969"/>
      <c r="T21" s="969"/>
      <c r="U21" s="969"/>
      <c r="V21" s="969"/>
      <c r="W21" s="969"/>
      <c r="X21" s="969"/>
      <c r="Y21" s="969"/>
      <c r="Z21" s="969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K12" sqref="K12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73" t="s">
        <v>36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873"/>
      <c r="V1" s="873"/>
      <c r="W1" s="873"/>
      <c r="X1" s="873"/>
      <c r="Y1" s="873"/>
      <c r="Z1" s="873"/>
      <c r="AA1" s="9"/>
      <c r="AB1" s="9"/>
    </row>
    <row r="2" spans="1:28" s="5" customFormat="1" ht="22.5" customHeight="1">
      <c r="A2" s="953" t="s">
        <v>305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10"/>
      <c r="AB2" s="10"/>
    </row>
    <row r="3" spans="1:28" s="5" customFormat="1" ht="22.5" customHeight="1">
      <c r="A3" s="874"/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874"/>
      <c r="S3" s="874"/>
      <c r="T3" s="874"/>
      <c r="U3" s="874"/>
      <c r="V3" s="874"/>
      <c r="W3" s="874"/>
      <c r="X3" s="874"/>
      <c r="Y3" s="874"/>
      <c r="Z3" s="874"/>
      <c r="AA3" s="10"/>
      <c r="AB3" s="10"/>
    </row>
    <row r="4" spans="1:27" s="3" customFormat="1" ht="46.5" customHeight="1">
      <c r="A4" s="954" t="s">
        <v>0</v>
      </c>
      <c r="B4" s="955" t="s">
        <v>1</v>
      </c>
      <c r="C4" s="878" t="s">
        <v>25</v>
      </c>
      <c r="D4" s="878"/>
      <c r="E4" s="878"/>
      <c r="F4" s="878"/>
      <c r="G4" s="957" t="s">
        <v>26</v>
      </c>
      <c r="H4" s="958"/>
      <c r="I4" s="958"/>
      <c r="J4" s="958"/>
      <c r="K4" s="958"/>
      <c r="L4" s="959"/>
      <c r="M4" s="957" t="s">
        <v>44</v>
      </c>
      <c r="N4" s="958"/>
      <c r="O4" s="958"/>
      <c r="P4" s="958"/>
      <c r="Q4" s="958"/>
      <c r="R4" s="959"/>
      <c r="S4" s="965" t="s">
        <v>45</v>
      </c>
      <c r="T4" s="966"/>
      <c r="U4" s="966"/>
      <c r="V4" s="966"/>
      <c r="W4" s="966"/>
      <c r="X4" s="967"/>
      <c r="Y4" s="973" t="s">
        <v>43</v>
      </c>
      <c r="Z4" s="954" t="s">
        <v>14</v>
      </c>
      <c r="AA4" s="7"/>
    </row>
    <row r="5" spans="1:28" s="3" customFormat="1" ht="14.25" customHeight="1">
      <c r="A5" s="954"/>
      <c r="B5" s="955"/>
      <c r="C5" s="878" t="s">
        <v>20</v>
      </c>
      <c r="D5" s="880" t="s">
        <v>21</v>
      </c>
      <c r="E5" s="880"/>
      <c r="F5" s="880"/>
      <c r="G5" s="955" t="s">
        <v>38</v>
      </c>
      <c r="H5" s="964" t="s">
        <v>21</v>
      </c>
      <c r="I5" s="964"/>
      <c r="J5" s="964"/>
      <c r="K5" s="964"/>
      <c r="L5" s="960" t="s">
        <v>202</v>
      </c>
      <c r="M5" s="955" t="s">
        <v>38</v>
      </c>
      <c r="N5" s="970" t="s">
        <v>21</v>
      </c>
      <c r="O5" s="971"/>
      <c r="P5" s="971"/>
      <c r="Q5" s="972"/>
      <c r="R5" s="960" t="s">
        <v>37</v>
      </c>
      <c r="S5" s="955" t="s">
        <v>38</v>
      </c>
      <c r="T5" s="970" t="s">
        <v>21</v>
      </c>
      <c r="U5" s="971"/>
      <c r="V5" s="971"/>
      <c r="W5" s="972"/>
      <c r="X5" s="960" t="s">
        <v>37</v>
      </c>
      <c r="Y5" s="973"/>
      <c r="Z5" s="954"/>
      <c r="AA5" s="6"/>
      <c r="AB5" s="4"/>
    </row>
    <row r="6" spans="1:28" s="3" customFormat="1" ht="76.5">
      <c r="A6" s="954"/>
      <c r="B6" s="955"/>
      <c r="C6" s="878"/>
      <c r="D6" s="8" t="s">
        <v>17</v>
      </c>
      <c r="E6" s="8" t="s">
        <v>18</v>
      </c>
      <c r="F6" s="8" t="s">
        <v>19</v>
      </c>
      <c r="G6" s="955"/>
      <c r="H6" s="39" t="s">
        <v>39</v>
      </c>
      <c r="I6" s="39" t="s">
        <v>40</v>
      </c>
      <c r="J6" s="39" t="s">
        <v>41</v>
      </c>
      <c r="K6" s="39" t="s">
        <v>42</v>
      </c>
      <c r="L6" s="961"/>
      <c r="M6" s="955"/>
      <c r="N6" s="39" t="s">
        <v>39</v>
      </c>
      <c r="O6" s="39" t="s">
        <v>40</v>
      </c>
      <c r="P6" s="39" t="s">
        <v>41</v>
      </c>
      <c r="Q6" s="39" t="s">
        <v>42</v>
      </c>
      <c r="R6" s="961"/>
      <c r="S6" s="955"/>
      <c r="T6" s="39" t="s">
        <v>39</v>
      </c>
      <c r="U6" s="39" t="s">
        <v>40</v>
      </c>
      <c r="V6" s="39" t="s">
        <v>41</v>
      </c>
      <c r="W6" s="39" t="s">
        <v>42</v>
      </c>
      <c r="X6" s="961"/>
      <c r="Y6" s="973"/>
      <c r="Z6" s="954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1.198</v>
      </c>
      <c r="T18" s="607">
        <f>+TXHL!T8</f>
        <v>0.43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0.4607692307692307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974" t="s">
        <v>23</v>
      </c>
      <c r="B20" s="975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221.869</v>
      </c>
      <c r="T20" s="593">
        <f t="shared" si="5"/>
        <v>48.583000000000006</v>
      </c>
      <c r="U20" s="594">
        <f t="shared" si="5"/>
        <v>120.43800000000002</v>
      </c>
      <c r="V20" s="594">
        <f t="shared" si="5"/>
        <v>52.348000000000006</v>
      </c>
      <c r="W20" s="594">
        <f t="shared" si="5"/>
        <v>0.5</v>
      </c>
      <c r="X20" s="622">
        <f t="shared" si="5"/>
        <v>28059.311999999994</v>
      </c>
      <c r="Y20" s="596">
        <f>+S20/G20</f>
        <v>0.2969466037089383</v>
      </c>
      <c r="Z20" s="597"/>
    </row>
    <row r="21" spans="2:26" ht="30" customHeight="1">
      <c r="B21" s="968" t="s">
        <v>48</v>
      </c>
      <c r="C21" s="969"/>
      <c r="D21" s="969"/>
      <c r="E21" s="969"/>
      <c r="F21" s="969"/>
      <c r="G21" s="969"/>
      <c r="H21" s="969"/>
      <c r="I21" s="969"/>
      <c r="J21" s="969"/>
      <c r="K21" s="969"/>
      <c r="L21" s="969"/>
      <c r="M21" s="969"/>
      <c r="N21" s="969"/>
      <c r="O21" s="969"/>
      <c r="P21" s="969"/>
      <c r="Q21" s="969"/>
      <c r="R21" s="969"/>
      <c r="S21" s="969"/>
      <c r="T21" s="969"/>
      <c r="U21" s="969"/>
      <c r="V21" s="969"/>
      <c r="W21" s="969"/>
      <c r="X21" s="969"/>
      <c r="Y21" s="969"/>
      <c r="Z21" s="969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24" t="s">
        <v>298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</row>
    <row r="2" spans="1:26" s="148" customFormat="1" ht="22.5" customHeight="1">
      <c r="A2" s="925" t="s">
        <v>305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</row>
    <row r="3" spans="1:26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</row>
    <row r="4" spans="1:26" s="151" customFormat="1" ht="33" customHeight="1">
      <c r="A4" s="918" t="s">
        <v>0</v>
      </c>
      <c r="B4" s="916" t="s">
        <v>160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27" t="s">
        <v>44</v>
      </c>
      <c r="N4" s="928"/>
      <c r="O4" s="928"/>
      <c r="P4" s="928"/>
      <c r="Q4" s="928"/>
      <c r="R4" s="929"/>
      <c r="S4" s="930" t="s">
        <v>45</v>
      </c>
      <c r="T4" s="931"/>
      <c r="U4" s="931"/>
      <c r="V4" s="931"/>
      <c r="W4" s="931"/>
      <c r="X4" s="932"/>
      <c r="Y4" s="912" t="s">
        <v>43</v>
      </c>
      <c r="Z4" s="912" t="s">
        <v>14</v>
      </c>
    </row>
    <row r="5" spans="1:26" s="151" customFormat="1" ht="15.7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6" t="s">
        <v>38</v>
      </c>
      <c r="T5" s="919" t="s">
        <v>21</v>
      </c>
      <c r="U5" s="920"/>
      <c r="V5" s="920"/>
      <c r="W5" s="921"/>
      <c r="X5" s="922" t="s">
        <v>37</v>
      </c>
      <c r="Y5" s="912"/>
      <c r="Z5" s="912"/>
    </row>
    <row r="6" spans="1:26" s="151" customFormat="1" ht="95.25" customHeight="1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6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12"/>
      <c r="Z6" s="912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976" t="s">
        <v>23</v>
      </c>
      <c r="B20" s="976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A20:B20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924" t="s">
        <v>52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146"/>
      <c r="X1" s="146"/>
    </row>
    <row r="2" spans="1:24" s="148" customFormat="1" ht="22.5" customHeight="1">
      <c r="A2" s="925" t="s">
        <v>305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147"/>
      <c r="X2" s="147"/>
    </row>
    <row r="3" spans="1:24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147"/>
      <c r="X3" s="147"/>
    </row>
    <row r="4" spans="1:23" s="151" customFormat="1" ht="73.5" customHeight="1">
      <c r="A4" s="977" t="s">
        <v>0</v>
      </c>
      <c r="B4" s="914" t="s">
        <v>160</v>
      </c>
      <c r="C4" s="980" t="s">
        <v>26</v>
      </c>
      <c r="D4" s="981"/>
      <c r="E4" s="981"/>
      <c r="F4" s="981"/>
      <c r="G4" s="981"/>
      <c r="H4" s="982"/>
      <c r="I4" s="980" t="s">
        <v>44</v>
      </c>
      <c r="J4" s="981"/>
      <c r="K4" s="981"/>
      <c r="L4" s="981"/>
      <c r="M4" s="981"/>
      <c r="N4" s="982"/>
      <c r="O4" s="983" t="s">
        <v>45</v>
      </c>
      <c r="P4" s="984"/>
      <c r="Q4" s="984"/>
      <c r="R4" s="984"/>
      <c r="S4" s="984"/>
      <c r="T4" s="985"/>
      <c r="U4" s="986" t="s">
        <v>43</v>
      </c>
      <c r="V4" s="977" t="s">
        <v>14</v>
      </c>
      <c r="W4" s="150"/>
    </row>
    <row r="5" spans="1:24" s="151" customFormat="1" ht="39" customHeight="1">
      <c r="A5" s="977"/>
      <c r="B5" s="914"/>
      <c r="C5" s="916" t="s">
        <v>38</v>
      </c>
      <c r="D5" s="917" t="s">
        <v>21</v>
      </c>
      <c r="E5" s="917"/>
      <c r="F5" s="917"/>
      <c r="G5" s="917"/>
      <c r="H5" s="922" t="s">
        <v>202</v>
      </c>
      <c r="I5" s="916" t="s">
        <v>38</v>
      </c>
      <c r="J5" s="919" t="s">
        <v>21</v>
      </c>
      <c r="K5" s="920"/>
      <c r="L5" s="920"/>
      <c r="M5" s="921"/>
      <c r="N5" s="922" t="s">
        <v>37</v>
      </c>
      <c r="O5" s="916" t="s">
        <v>38</v>
      </c>
      <c r="P5" s="919" t="s">
        <v>21</v>
      </c>
      <c r="Q5" s="920"/>
      <c r="R5" s="920"/>
      <c r="S5" s="921"/>
      <c r="T5" s="922" t="s">
        <v>37</v>
      </c>
      <c r="U5" s="986"/>
      <c r="V5" s="977"/>
      <c r="W5" s="152"/>
      <c r="X5" s="153"/>
    </row>
    <row r="6" spans="1:24" s="151" customFormat="1" ht="73.5" customHeight="1">
      <c r="A6" s="977"/>
      <c r="B6" s="914"/>
      <c r="C6" s="916"/>
      <c r="D6" s="149" t="s">
        <v>39</v>
      </c>
      <c r="E6" s="149" t="s">
        <v>40</v>
      </c>
      <c r="F6" s="149" t="s">
        <v>41</v>
      </c>
      <c r="G6" s="149" t="s">
        <v>42</v>
      </c>
      <c r="H6" s="923"/>
      <c r="I6" s="916"/>
      <c r="J6" s="149" t="s">
        <v>39</v>
      </c>
      <c r="K6" s="149" t="s">
        <v>40</v>
      </c>
      <c r="L6" s="149" t="s">
        <v>41</v>
      </c>
      <c r="M6" s="149" t="s">
        <v>42</v>
      </c>
      <c r="N6" s="923"/>
      <c r="O6" s="916"/>
      <c r="P6" s="149" t="s">
        <v>39</v>
      </c>
      <c r="Q6" s="149" t="s">
        <v>40</v>
      </c>
      <c r="R6" s="149" t="s">
        <v>41</v>
      </c>
      <c r="S6" s="149" t="s">
        <v>42</v>
      </c>
      <c r="T6" s="923"/>
      <c r="U6" s="986"/>
      <c r="V6" s="977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978" t="s">
        <v>23</v>
      </c>
      <c r="B36" s="979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B23" sqref="B23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24" t="s">
        <v>87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</row>
    <row r="2" spans="1:26" s="148" customFormat="1" ht="22.5" customHeight="1">
      <c r="A2" s="925" t="s">
        <v>305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</row>
    <row r="3" spans="1:26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</row>
    <row r="4" spans="1:26" s="151" customFormat="1" ht="33" customHeight="1">
      <c r="A4" s="918" t="s">
        <v>0</v>
      </c>
      <c r="B4" s="916" t="s">
        <v>160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27" t="s">
        <v>44</v>
      </c>
      <c r="N4" s="928"/>
      <c r="O4" s="928"/>
      <c r="P4" s="928"/>
      <c r="Q4" s="928"/>
      <c r="R4" s="929"/>
      <c r="S4" s="930" t="s">
        <v>45</v>
      </c>
      <c r="T4" s="931"/>
      <c r="U4" s="931"/>
      <c r="V4" s="931"/>
      <c r="W4" s="931"/>
      <c r="X4" s="932"/>
      <c r="Y4" s="912" t="s">
        <v>43</v>
      </c>
      <c r="Z4" s="912" t="s">
        <v>14</v>
      </c>
    </row>
    <row r="5" spans="1:26" s="151" customFormat="1" ht="15.7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6" t="s">
        <v>38</v>
      </c>
      <c r="T5" s="919" t="s">
        <v>21</v>
      </c>
      <c r="U5" s="920"/>
      <c r="V5" s="920"/>
      <c r="W5" s="921"/>
      <c r="X5" s="922" t="s">
        <v>37</v>
      </c>
      <c r="Y5" s="912"/>
      <c r="Z5" s="912"/>
    </row>
    <row r="6" spans="1:26" s="151" customFormat="1" ht="95.25" customHeight="1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6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12"/>
      <c r="Z6" s="912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987" t="s">
        <v>23</v>
      </c>
      <c r="B17" s="988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A17:B17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924" t="s">
        <v>86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146"/>
      <c r="X1" s="146"/>
    </row>
    <row r="2" spans="1:24" s="148" customFormat="1" ht="22.5" customHeight="1">
      <c r="A2" s="925" t="s">
        <v>305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147"/>
      <c r="X2" s="147"/>
    </row>
    <row r="3" spans="1:24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147"/>
      <c r="X3" s="147"/>
    </row>
    <row r="4" spans="1:23" s="151" customFormat="1" ht="73.5" customHeight="1">
      <c r="A4" s="918" t="s">
        <v>0</v>
      </c>
      <c r="B4" s="916" t="s">
        <v>181</v>
      </c>
      <c r="C4" s="927" t="s">
        <v>26</v>
      </c>
      <c r="D4" s="928"/>
      <c r="E4" s="928"/>
      <c r="F4" s="928"/>
      <c r="G4" s="928"/>
      <c r="H4" s="929"/>
      <c r="I4" s="927" t="s">
        <v>44</v>
      </c>
      <c r="J4" s="928"/>
      <c r="K4" s="928"/>
      <c r="L4" s="928"/>
      <c r="M4" s="928"/>
      <c r="N4" s="929"/>
      <c r="O4" s="930" t="s">
        <v>45</v>
      </c>
      <c r="P4" s="931"/>
      <c r="Q4" s="931"/>
      <c r="R4" s="931"/>
      <c r="S4" s="931"/>
      <c r="T4" s="932"/>
      <c r="U4" s="912" t="s">
        <v>43</v>
      </c>
      <c r="V4" s="918" t="s">
        <v>14</v>
      </c>
      <c r="W4" s="150"/>
    </row>
    <row r="5" spans="1:24" s="151" customFormat="1" ht="39" customHeight="1">
      <c r="A5" s="918"/>
      <c r="B5" s="916"/>
      <c r="C5" s="916" t="s">
        <v>38</v>
      </c>
      <c r="D5" s="917" t="s">
        <v>21</v>
      </c>
      <c r="E5" s="917"/>
      <c r="F5" s="917"/>
      <c r="G5" s="917"/>
      <c r="H5" s="922" t="s">
        <v>202</v>
      </c>
      <c r="I5" s="916" t="s">
        <v>38</v>
      </c>
      <c r="J5" s="919" t="s">
        <v>21</v>
      </c>
      <c r="K5" s="920"/>
      <c r="L5" s="920"/>
      <c r="M5" s="921"/>
      <c r="N5" s="922" t="s">
        <v>37</v>
      </c>
      <c r="O5" s="916" t="s">
        <v>38</v>
      </c>
      <c r="P5" s="919" t="s">
        <v>21</v>
      </c>
      <c r="Q5" s="920"/>
      <c r="R5" s="920"/>
      <c r="S5" s="921"/>
      <c r="T5" s="922" t="s">
        <v>37</v>
      </c>
      <c r="U5" s="912"/>
      <c r="V5" s="918"/>
      <c r="W5" s="152"/>
      <c r="X5" s="153"/>
    </row>
    <row r="6" spans="1:24" s="151" customFormat="1" ht="73.5" customHeight="1">
      <c r="A6" s="918"/>
      <c r="B6" s="916"/>
      <c r="C6" s="916"/>
      <c r="D6" s="149" t="s">
        <v>39</v>
      </c>
      <c r="E6" s="149" t="s">
        <v>40</v>
      </c>
      <c r="F6" s="149" t="s">
        <v>41</v>
      </c>
      <c r="G6" s="149" t="s">
        <v>42</v>
      </c>
      <c r="H6" s="923"/>
      <c r="I6" s="916"/>
      <c r="J6" s="149" t="s">
        <v>39</v>
      </c>
      <c r="K6" s="149" t="s">
        <v>40</v>
      </c>
      <c r="L6" s="149" t="s">
        <v>41</v>
      </c>
      <c r="M6" s="149" t="s">
        <v>42</v>
      </c>
      <c r="N6" s="923"/>
      <c r="O6" s="916"/>
      <c r="P6" s="149" t="s">
        <v>39</v>
      </c>
      <c r="Q6" s="149" t="s">
        <v>40</v>
      </c>
      <c r="R6" s="149" t="s">
        <v>41</v>
      </c>
      <c r="S6" s="149" t="s">
        <v>42</v>
      </c>
      <c r="T6" s="923"/>
      <c r="U6" s="912"/>
      <c r="V6" s="918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976" t="s">
        <v>23</v>
      </c>
      <c r="B35" s="976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924" t="s">
        <v>89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146"/>
      <c r="X1" s="146"/>
    </row>
    <row r="2" spans="1:24" s="148" customFormat="1" ht="22.5" customHeight="1">
      <c r="A2" s="925" t="s">
        <v>305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147"/>
      <c r="X2" s="147"/>
    </row>
    <row r="3" spans="1:24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147"/>
      <c r="X3" s="147"/>
    </row>
    <row r="4" spans="1:23" s="151" customFormat="1" ht="99.75" customHeight="1">
      <c r="A4" s="977" t="s">
        <v>0</v>
      </c>
      <c r="B4" s="914" t="s">
        <v>160</v>
      </c>
      <c r="C4" s="980" t="s">
        <v>26</v>
      </c>
      <c r="D4" s="981"/>
      <c r="E4" s="981"/>
      <c r="F4" s="981"/>
      <c r="G4" s="981"/>
      <c r="H4" s="982"/>
      <c r="I4" s="980" t="s">
        <v>44</v>
      </c>
      <c r="J4" s="981"/>
      <c r="K4" s="981"/>
      <c r="L4" s="981"/>
      <c r="M4" s="981"/>
      <c r="N4" s="982"/>
      <c r="O4" s="983" t="s">
        <v>45</v>
      </c>
      <c r="P4" s="984"/>
      <c r="Q4" s="984"/>
      <c r="R4" s="984"/>
      <c r="S4" s="984"/>
      <c r="T4" s="985"/>
      <c r="U4" s="986" t="s">
        <v>43</v>
      </c>
      <c r="V4" s="977" t="s">
        <v>14</v>
      </c>
      <c r="W4" s="150"/>
    </row>
    <row r="5" spans="1:24" s="151" customFormat="1" ht="39" customHeight="1">
      <c r="A5" s="977"/>
      <c r="B5" s="914"/>
      <c r="C5" s="916" t="s">
        <v>38</v>
      </c>
      <c r="D5" s="917" t="s">
        <v>21</v>
      </c>
      <c r="E5" s="917"/>
      <c r="F5" s="917"/>
      <c r="G5" s="917"/>
      <c r="H5" s="922" t="s">
        <v>201</v>
      </c>
      <c r="I5" s="916" t="s">
        <v>38</v>
      </c>
      <c r="J5" s="919" t="s">
        <v>21</v>
      </c>
      <c r="K5" s="920"/>
      <c r="L5" s="920"/>
      <c r="M5" s="921"/>
      <c r="N5" s="922" t="s">
        <v>37</v>
      </c>
      <c r="O5" s="916" t="s">
        <v>38</v>
      </c>
      <c r="P5" s="919" t="s">
        <v>21</v>
      </c>
      <c r="Q5" s="920"/>
      <c r="R5" s="920"/>
      <c r="S5" s="921"/>
      <c r="T5" s="922" t="s">
        <v>37</v>
      </c>
      <c r="U5" s="986"/>
      <c r="V5" s="977"/>
      <c r="W5" s="152"/>
      <c r="X5" s="153"/>
    </row>
    <row r="6" spans="1:24" s="151" customFormat="1" ht="73.5" customHeight="1">
      <c r="A6" s="977"/>
      <c r="B6" s="914"/>
      <c r="C6" s="916"/>
      <c r="D6" s="149" t="s">
        <v>39</v>
      </c>
      <c r="E6" s="149" t="s">
        <v>40</v>
      </c>
      <c r="F6" s="149" t="s">
        <v>41</v>
      </c>
      <c r="G6" s="149" t="s">
        <v>42</v>
      </c>
      <c r="H6" s="923"/>
      <c r="I6" s="916"/>
      <c r="J6" s="149" t="s">
        <v>39</v>
      </c>
      <c r="K6" s="149" t="s">
        <v>40</v>
      </c>
      <c r="L6" s="149" t="s">
        <v>41</v>
      </c>
      <c r="M6" s="149" t="s">
        <v>42</v>
      </c>
      <c r="N6" s="923"/>
      <c r="O6" s="916"/>
      <c r="P6" s="149" t="s">
        <v>39</v>
      </c>
      <c r="Q6" s="149" t="s">
        <v>40</v>
      </c>
      <c r="R6" s="149" t="s">
        <v>41</v>
      </c>
      <c r="S6" s="149" t="s">
        <v>42</v>
      </c>
      <c r="T6" s="923"/>
      <c r="U6" s="986"/>
      <c r="V6" s="977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987" t="s">
        <v>23</v>
      </c>
      <c r="B29" s="988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24" t="s">
        <v>299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</row>
    <row r="2" spans="1:26" s="148" customFormat="1" ht="22.5" customHeight="1">
      <c r="A2" s="925" t="s">
        <v>305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</row>
    <row r="3" spans="1:26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</row>
    <row r="4" spans="1:26" s="151" customFormat="1" ht="33" customHeight="1">
      <c r="A4" s="995" t="s">
        <v>0</v>
      </c>
      <c r="B4" s="912" t="s">
        <v>160</v>
      </c>
      <c r="C4" s="986" t="s">
        <v>25</v>
      </c>
      <c r="D4" s="986"/>
      <c r="E4" s="986"/>
      <c r="F4" s="986"/>
      <c r="G4" s="991" t="s">
        <v>26</v>
      </c>
      <c r="H4" s="992"/>
      <c r="I4" s="992"/>
      <c r="J4" s="992"/>
      <c r="K4" s="992"/>
      <c r="L4" s="993"/>
      <c r="M4" s="991" t="s">
        <v>44</v>
      </c>
      <c r="N4" s="992"/>
      <c r="O4" s="992"/>
      <c r="P4" s="992"/>
      <c r="Q4" s="992"/>
      <c r="R4" s="993"/>
      <c r="S4" s="996" t="s">
        <v>45</v>
      </c>
      <c r="T4" s="997"/>
      <c r="U4" s="997"/>
      <c r="V4" s="997"/>
      <c r="W4" s="997"/>
      <c r="X4" s="998"/>
      <c r="Y4" s="912" t="s">
        <v>43</v>
      </c>
      <c r="Z4" s="912" t="s">
        <v>14</v>
      </c>
    </row>
    <row r="5" spans="1:26" s="151" customFormat="1" ht="15.75" customHeight="1">
      <c r="A5" s="995"/>
      <c r="B5" s="912"/>
      <c r="C5" s="986" t="s">
        <v>20</v>
      </c>
      <c r="D5" s="1003" t="s">
        <v>21</v>
      </c>
      <c r="E5" s="1003"/>
      <c r="F5" s="1003"/>
      <c r="G5" s="912" t="s">
        <v>38</v>
      </c>
      <c r="H5" s="994" t="s">
        <v>21</v>
      </c>
      <c r="I5" s="994"/>
      <c r="J5" s="994"/>
      <c r="K5" s="994"/>
      <c r="L5" s="989" t="s">
        <v>202</v>
      </c>
      <c r="M5" s="912" t="s">
        <v>38</v>
      </c>
      <c r="N5" s="999" t="s">
        <v>21</v>
      </c>
      <c r="O5" s="1000"/>
      <c r="P5" s="1000"/>
      <c r="Q5" s="1001"/>
      <c r="R5" s="989" t="s">
        <v>37</v>
      </c>
      <c r="S5" s="912" t="s">
        <v>38</v>
      </c>
      <c r="T5" s="999" t="s">
        <v>21</v>
      </c>
      <c r="U5" s="1000"/>
      <c r="V5" s="1000"/>
      <c r="W5" s="1001"/>
      <c r="X5" s="989" t="s">
        <v>37</v>
      </c>
      <c r="Y5" s="912"/>
      <c r="Z5" s="912"/>
    </row>
    <row r="6" spans="1:26" s="151" customFormat="1" ht="95.25" customHeight="1">
      <c r="A6" s="995"/>
      <c r="B6" s="912"/>
      <c r="C6" s="986"/>
      <c r="D6" s="371" t="s">
        <v>17</v>
      </c>
      <c r="E6" s="371" t="s">
        <v>18</v>
      </c>
      <c r="F6" s="371" t="s">
        <v>19</v>
      </c>
      <c r="G6" s="912"/>
      <c r="H6" s="370" t="s">
        <v>39</v>
      </c>
      <c r="I6" s="370" t="s">
        <v>40</v>
      </c>
      <c r="J6" s="370" t="s">
        <v>41</v>
      </c>
      <c r="K6" s="370" t="s">
        <v>42</v>
      </c>
      <c r="L6" s="990"/>
      <c r="M6" s="912"/>
      <c r="N6" s="370" t="s">
        <v>39</v>
      </c>
      <c r="O6" s="370" t="s">
        <v>40</v>
      </c>
      <c r="P6" s="370" t="s">
        <v>41</v>
      </c>
      <c r="Q6" s="370" t="s">
        <v>42</v>
      </c>
      <c r="R6" s="990"/>
      <c r="S6" s="912"/>
      <c r="T6" s="370" t="s">
        <v>39</v>
      </c>
      <c r="U6" s="370" t="s">
        <v>40</v>
      </c>
      <c r="V6" s="370" t="s">
        <v>41</v>
      </c>
      <c r="W6" s="370" t="s">
        <v>42</v>
      </c>
      <c r="X6" s="990"/>
      <c r="Y6" s="912"/>
      <c r="Z6" s="912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1002" t="s">
        <v>23</v>
      </c>
      <c r="B30" s="1002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A30:B30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A10">
      <selection activeCell="U15" sqref="U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5" width="5.50390625" style="26" customWidth="1"/>
    <col min="26" max="26" width="13.875" style="649" customWidth="1"/>
    <col min="27" max="27" width="5.125" style="26" customWidth="1"/>
    <col min="28" max="28" width="8.25390625" style="26" customWidth="1"/>
    <col min="29" max="31" width="9.00390625" style="26" customWidth="1"/>
    <col min="32" max="16384" width="9.00390625" style="26" customWidth="1"/>
  </cols>
  <sheetData>
    <row r="1" spans="1:28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636"/>
      <c r="V1" s="636"/>
      <c r="W1" s="636"/>
      <c r="X1" s="636"/>
      <c r="Y1" s="636"/>
      <c r="Z1" s="636"/>
      <c r="AA1" s="146"/>
      <c r="AB1" s="146"/>
    </row>
    <row r="2" spans="1:28" s="148" customFormat="1" ht="22.5" customHeight="1">
      <c r="A2" s="925" t="s">
        <v>373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637"/>
      <c r="V2" s="637"/>
      <c r="W2" s="637"/>
      <c r="X2" s="637"/>
      <c r="Y2" s="637"/>
      <c r="Z2" s="637"/>
      <c r="AA2" s="147"/>
      <c r="AB2" s="147"/>
    </row>
    <row r="3" spans="1:28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658"/>
      <c r="V3" s="658"/>
      <c r="W3" s="658"/>
      <c r="X3" s="658"/>
      <c r="Y3" s="658"/>
      <c r="Z3" s="658"/>
      <c r="AA3" s="147"/>
      <c r="AB3" s="147"/>
    </row>
    <row r="4" spans="1:27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374</v>
      </c>
      <c r="H4" s="928"/>
      <c r="I4" s="928"/>
      <c r="J4" s="928"/>
      <c r="K4" s="928"/>
      <c r="L4" s="929"/>
      <c r="M4" s="930" t="s">
        <v>307</v>
      </c>
      <c r="N4" s="931"/>
      <c r="O4" s="931"/>
      <c r="P4" s="931"/>
      <c r="Q4" s="931"/>
      <c r="R4" s="932"/>
      <c r="S4" s="912" t="s">
        <v>43</v>
      </c>
      <c r="T4" s="918" t="s">
        <v>14</v>
      </c>
      <c r="U4" s="912" t="s">
        <v>329</v>
      </c>
      <c r="V4" s="869"/>
      <c r="W4" s="869"/>
      <c r="X4" s="869"/>
      <c r="Y4" s="869"/>
      <c r="Z4" s="913" t="s">
        <v>313</v>
      </c>
      <c r="AA4" s="150"/>
    </row>
    <row r="5" spans="1:28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2"/>
      <c r="T5" s="918"/>
      <c r="U5" s="912"/>
      <c r="V5" s="869"/>
      <c r="W5" s="869"/>
      <c r="X5" s="869"/>
      <c r="Y5" s="869"/>
      <c r="Z5" s="913"/>
      <c r="AA5" s="152"/>
      <c r="AB5" s="153"/>
    </row>
    <row r="6" spans="1:28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2"/>
      <c r="T6" s="918"/>
      <c r="U6" s="912"/>
      <c r="V6" s="865" t="s">
        <v>379</v>
      </c>
      <c r="W6" s="869" t="s">
        <v>380</v>
      </c>
      <c r="X6" s="869"/>
      <c r="Y6" s="869"/>
      <c r="Z6" s="913"/>
      <c r="AA6" s="155"/>
      <c r="AB6" s="153"/>
    </row>
    <row r="7" spans="1:28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866"/>
      <c r="W7" s="870"/>
      <c r="X7" s="870"/>
      <c r="Y7" s="870"/>
      <c r="Z7" s="643"/>
      <c r="AA7" s="155"/>
      <c r="AB7" s="643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43.36</v>
      </c>
      <c r="N8" s="465">
        <v>9.02</v>
      </c>
      <c r="O8" s="465">
        <v>21.82</v>
      </c>
      <c r="P8" s="465">
        <v>12.52</v>
      </c>
      <c r="Q8" s="465"/>
      <c r="R8" s="616">
        <v>9102.05</v>
      </c>
      <c r="S8" s="549">
        <f aca="true" t="shared" si="0" ref="S8:S20">+M8/G8</f>
        <v>0.7073409461663948</v>
      </c>
      <c r="T8" s="814" t="s">
        <v>376</v>
      </c>
      <c r="U8" s="755">
        <f>4.15+3.64</f>
        <v>7.790000000000001</v>
      </c>
      <c r="V8" s="867">
        <v>3.64</v>
      </c>
      <c r="W8" s="871">
        <f>+X8-V8-M8</f>
        <v>4.149999999999999</v>
      </c>
      <c r="X8" s="867">
        <v>51.15</v>
      </c>
      <c r="Y8" s="872">
        <f>+V8+W8</f>
        <v>7.789999999999999</v>
      </c>
      <c r="Z8" s="646">
        <f>+M8+U8</f>
        <v>51.15</v>
      </c>
      <c r="AA8" s="71"/>
    </row>
    <row r="9" spans="1:27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867">
        <v>8</v>
      </c>
      <c r="W9" s="871">
        <f aca="true" t="shared" si="3" ref="W9:W19">+X9-V9-M9</f>
        <v>7.577000000000005</v>
      </c>
      <c r="X9" s="867">
        <f>4.84+47.42</f>
        <v>52.260000000000005</v>
      </c>
      <c r="Y9" s="872">
        <f aca="true" t="shared" si="4" ref="Y9:Y19">+V9+W9</f>
        <v>15.577000000000005</v>
      </c>
      <c r="Z9" s="646">
        <f aca="true" t="shared" si="5" ref="Z9:Z19">+M9+U9</f>
        <v>52.263</v>
      </c>
      <c r="AA9" s="77"/>
    </row>
    <row r="10" spans="1:29" s="68" customFormat="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867">
        <v>21.63</v>
      </c>
      <c r="W10" s="871">
        <f t="shared" si="3"/>
        <v>3.1699999999999946</v>
      </c>
      <c r="X10" s="867">
        <v>58.4</v>
      </c>
      <c r="Y10" s="872">
        <f t="shared" si="4"/>
        <v>24.799999999999994</v>
      </c>
      <c r="Z10" s="646">
        <f t="shared" si="5"/>
        <v>58.39</v>
      </c>
      <c r="AA10" s="77">
        <f>+Y10-U10</f>
        <v>0.009999999999994458</v>
      </c>
      <c r="AC10" s="77"/>
    </row>
    <row r="11" spans="1:28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384</v>
      </c>
      <c r="U11" s="756">
        <f>6.42+11.65</f>
        <v>18.07</v>
      </c>
      <c r="V11" s="867">
        <v>14.1</v>
      </c>
      <c r="W11" s="871">
        <f t="shared" si="3"/>
        <v>3.9699999999999953</v>
      </c>
      <c r="X11" s="867">
        <v>41.23</v>
      </c>
      <c r="Y11" s="872">
        <f t="shared" si="4"/>
        <v>18.069999999999993</v>
      </c>
      <c r="Z11" s="646">
        <f t="shared" si="5"/>
        <v>41.230000000000004</v>
      </c>
      <c r="AA11" s="36">
        <f>+Y11-U11</f>
        <v>0</v>
      </c>
      <c r="AB11" s="36"/>
    </row>
    <row r="12" spans="1:27" ht="38.2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80.2</v>
      </c>
      <c r="N12" s="471">
        <v>18.1</v>
      </c>
      <c r="O12" s="471">
        <v>53</v>
      </c>
      <c r="P12" s="471">
        <v>7.2</v>
      </c>
      <c r="Q12" s="471">
        <v>1.9</v>
      </c>
      <c r="R12" s="618">
        <v>10528</v>
      </c>
      <c r="S12" s="604">
        <f t="shared" si="0"/>
        <v>0.9501356490421639</v>
      </c>
      <c r="T12" s="828" t="s">
        <v>385</v>
      </c>
      <c r="U12" s="756">
        <f>1.73+21.67</f>
        <v>23.400000000000002</v>
      </c>
      <c r="V12" s="867">
        <v>21.63</v>
      </c>
      <c r="W12" s="871">
        <f t="shared" si="3"/>
        <v>1.769999999999996</v>
      </c>
      <c r="X12" s="867">
        <v>103.6</v>
      </c>
      <c r="Y12" s="872">
        <f t="shared" si="4"/>
        <v>23.399999999999995</v>
      </c>
      <c r="Z12" s="646">
        <f t="shared" si="5"/>
        <v>103.60000000000001</v>
      </c>
      <c r="AA12" s="36">
        <f>+Y12-U12</f>
        <v>0</v>
      </c>
    </row>
    <row r="13" spans="1:26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828" t="s">
        <v>381</v>
      </c>
      <c r="U13" s="756">
        <v>12.2</v>
      </c>
      <c r="V13" s="867">
        <v>11.5</v>
      </c>
      <c r="W13" s="871">
        <f t="shared" si="3"/>
        <v>0.7019999999999982</v>
      </c>
      <c r="X13" s="867">
        <v>70.14</v>
      </c>
      <c r="Y13" s="872">
        <f t="shared" si="4"/>
        <v>12.201999999999998</v>
      </c>
      <c r="Z13" s="646">
        <f t="shared" si="5"/>
        <v>70.138</v>
      </c>
    </row>
    <row r="14" spans="1:27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867">
        <v>4.5</v>
      </c>
      <c r="W14" s="871">
        <f t="shared" si="3"/>
        <v>6.210000000000008</v>
      </c>
      <c r="X14" s="867">
        <v>103.9</v>
      </c>
      <c r="Y14" s="872">
        <f t="shared" si="4"/>
        <v>10.710000000000008</v>
      </c>
      <c r="Z14" s="646">
        <f t="shared" si="5"/>
        <v>111.65</v>
      </c>
      <c r="AA14" s="77">
        <f>+Y14-U14</f>
        <v>-7.749999999999993</v>
      </c>
    </row>
    <row r="15" spans="1:28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85.19999999999999</v>
      </c>
      <c r="N15" s="471">
        <v>17.48</v>
      </c>
      <c r="O15" s="471">
        <v>56.9</v>
      </c>
      <c r="P15" s="471">
        <v>10.82</v>
      </c>
      <c r="Q15" s="471"/>
      <c r="R15" s="618">
        <v>11209.5</v>
      </c>
      <c r="S15" s="604">
        <f t="shared" si="0"/>
        <v>0.9063829787234041</v>
      </c>
      <c r="T15" s="473" t="s">
        <v>389</v>
      </c>
      <c r="U15" s="756">
        <f>26.6+7.5+17.15</f>
        <v>51.25</v>
      </c>
      <c r="V15" s="867">
        <v>39.7</v>
      </c>
      <c r="W15" s="871">
        <f t="shared" si="3"/>
        <v>19.299999999999997</v>
      </c>
      <c r="X15" s="867">
        <f>12.5+131.7</f>
        <v>144.2</v>
      </c>
      <c r="Y15" s="872">
        <f>+V15+W15</f>
        <v>59</v>
      </c>
      <c r="Z15" s="646">
        <f t="shared" si="5"/>
        <v>136.45</v>
      </c>
      <c r="AA15" s="36">
        <f>+Y15-U15</f>
        <v>7.75</v>
      </c>
      <c r="AB15" s="36">
        <f>+AA15+AA14</f>
        <v>7.105427357601002E-15</v>
      </c>
    </row>
    <row r="16" spans="1:27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5715.8</v>
      </c>
      <c r="S16" s="604">
        <f t="shared" si="0"/>
        <v>0.864793678665496</v>
      </c>
      <c r="T16" s="473" t="s">
        <v>386</v>
      </c>
      <c r="U16" s="756">
        <f>1+12.1</f>
        <v>13.1</v>
      </c>
      <c r="V16" s="867">
        <v>12.1</v>
      </c>
      <c r="W16" s="871">
        <f t="shared" si="3"/>
        <v>1</v>
      </c>
      <c r="X16" s="867">
        <v>52.5</v>
      </c>
      <c r="Y16" s="872">
        <f t="shared" si="4"/>
        <v>13.1</v>
      </c>
      <c r="Z16" s="646">
        <f t="shared" si="5"/>
        <v>52.5</v>
      </c>
      <c r="AA16" s="77">
        <f>+Y16-U16</f>
        <v>0</v>
      </c>
    </row>
    <row r="17" spans="1:27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387</v>
      </c>
      <c r="U17" s="756">
        <f>13.49+6.95</f>
        <v>20.44</v>
      </c>
      <c r="V17" s="867">
        <v>18.296</v>
      </c>
      <c r="W17" s="871">
        <f t="shared" si="3"/>
        <v>2.140999999999991</v>
      </c>
      <c r="X17" s="867">
        <f>2.14+111.93</f>
        <v>114.07000000000001</v>
      </c>
      <c r="Y17" s="872">
        <f t="shared" si="4"/>
        <v>20.43699999999999</v>
      </c>
      <c r="Z17" s="646">
        <f t="shared" si="5"/>
        <v>114.07300000000001</v>
      </c>
      <c r="AA17" s="77">
        <f>+Y17-U17</f>
        <v>-0.003000000000010772</v>
      </c>
    </row>
    <row r="18" spans="1:28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388</v>
      </c>
      <c r="U18" s="756">
        <v>5.13</v>
      </c>
      <c r="V18" s="867">
        <v>1.43</v>
      </c>
      <c r="W18" s="871">
        <f t="shared" si="3"/>
        <v>3.7000000000000006</v>
      </c>
      <c r="X18" s="867">
        <v>6.57</v>
      </c>
      <c r="Y18" s="871">
        <f t="shared" si="4"/>
        <v>5.130000000000001</v>
      </c>
      <c r="Z18" s="646">
        <f t="shared" si="5"/>
        <v>6.57</v>
      </c>
      <c r="AA18" s="77">
        <f>+Y18-U18</f>
        <v>0</v>
      </c>
      <c r="AB18" s="77">
        <f>+AA18+3.41</f>
        <v>3.41</v>
      </c>
    </row>
    <row r="19" spans="1:26" s="68" customFormat="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375</v>
      </c>
      <c r="U19" s="758">
        <v>5.76</v>
      </c>
      <c r="V19" s="867">
        <v>0</v>
      </c>
      <c r="W19" s="871">
        <f t="shared" si="3"/>
        <v>5.760000000000002</v>
      </c>
      <c r="X19" s="867">
        <f>3.1+17.56</f>
        <v>20.66</v>
      </c>
      <c r="Y19" s="872">
        <f t="shared" si="4"/>
        <v>5.760000000000002</v>
      </c>
      <c r="Z19" s="646">
        <f t="shared" si="5"/>
        <v>20.659999999999997</v>
      </c>
    </row>
    <row r="20" spans="1:26" ht="21.75" customHeight="1">
      <c r="A20" s="895" t="s">
        <v>23</v>
      </c>
      <c r="B20" s="896"/>
      <c r="C20" s="815">
        <f aca="true" t="shared" si="6" ref="C20:L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793.496</v>
      </c>
      <c r="H20" s="818">
        <f t="shared" si="6"/>
        <v>224.264</v>
      </c>
      <c r="I20" s="818">
        <f t="shared" si="6"/>
        <v>365.29699999999997</v>
      </c>
      <c r="J20" s="818">
        <f t="shared" si="6"/>
        <v>200.805</v>
      </c>
      <c r="K20" s="818">
        <f>+SUM(K8:K19)</f>
        <v>3.13</v>
      </c>
      <c r="L20" s="819">
        <f t="shared" si="6"/>
        <v>115280.51800000001</v>
      </c>
      <c r="M20" s="820">
        <f aca="true" t="shared" si="7" ref="M20:R20">+SUM(M8:M19)</f>
        <v>602.704</v>
      </c>
      <c r="N20" s="821">
        <f t="shared" si="7"/>
        <v>150.482</v>
      </c>
      <c r="O20" s="820">
        <f t="shared" si="7"/>
        <v>330.648</v>
      </c>
      <c r="P20" s="820">
        <f t="shared" si="7"/>
        <v>118.37400000000002</v>
      </c>
      <c r="Q20" s="820">
        <f t="shared" si="7"/>
        <v>3.2</v>
      </c>
      <c r="R20" s="822">
        <f t="shared" si="7"/>
        <v>82640.01</v>
      </c>
      <c r="S20" s="823">
        <f t="shared" si="0"/>
        <v>0.7595551836430177</v>
      </c>
      <c r="T20" s="824" t="str">
        <f>+U4&amp;U20&amp;" km"</f>
        <v>Tổng đường dự án và đường khác: 215,97 km</v>
      </c>
      <c r="U20" s="825">
        <f>+SUM(U8:U19)</f>
        <v>215.96999999999997</v>
      </c>
      <c r="V20" s="868"/>
      <c r="W20" s="868"/>
      <c r="X20" s="868"/>
      <c r="Y20" s="868"/>
      <c r="Z20" s="656">
        <f>SUM(Z8:Z19)</f>
        <v>818.6740000000001</v>
      </c>
    </row>
    <row r="21" spans="2:26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726"/>
      <c r="V21" s="726"/>
      <c r="W21" s="726"/>
      <c r="X21" s="726"/>
      <c r="Y21" s="726"/>
      <c r="Z21" s="770"/>
    </row>
    <row r="22" spans="2:26" ht="15">
      <c r="B22" s="162"/>
      <c r="O22" s="36"/>
      <c r="R22" s="165"/>
      <c r="S22" s="166"/>
      <c r="Z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8" ref="M24:R24">+M20</f>
        <v>602.704</v>
      </c>
      <c r="N24" s="163">
        <f t="shared" si="8"/>
        <v>150.482</v>
      </c>
      <c r="O24" s="163">
        <f t="shared" si="8"/>
        <v>330.648</v>
      </c>
      <c r="P24" s="163">
        <f t="shared" si="8"/>
        <v>118.37400000000002</v>
      </c>
      <c r="Q24" s="163">
        <f t="shared" si="8"/>
        <v>3.2</v>
      </c>
      <c r="R24" s="163">
        <f t="shared" si="8"/>
        <v>82640.01</v>
      </c>
    </row>
    <row r="25" spans="12:18" ht="15">
      <c r="L25" s="831" t="s">
        <v>362</v>
      </c>
      <c r="M25" s="163">
        <f>+'03.10.2013'!M20</f>
        <v>586.5480000000001</v>
      </c>
      <c r="N25" s="163">
        <f>+'03.10.2013'!N20</f>
        <v>144.436</v>
      </c>
      <c r="O25" s="163">
        <f>+'03.10.2013'!O20</f>
        <v>321.916</v>
      </c>
      <c r="P25" s="163">
        <f>+'03.10.2013'!P20</f>
        <v>116.99600000000002</v>
      </c>
      <c r="Q25" s="163">
        <f>+'03.10.2013'!Q20</f>
        <v>3.2</v>
      </c>
      <c r="R25" s="163">
        <f>+'03.10.2013'!R20</f>
        <v>79406.5</v>
      </c>
    </row>
    <row r="26" spans="12:18" ht="15">
      <c r="L26" s="831" t="s">
        <v>363</v>
      </c>
      <c r="M26" s="163">
        <f aca="true" t="shared" si="9" ref="M26:R26">+M20-M25</f>
        <v>16.155999999999835</v>
      </c>
      <c r="N26" s="163">
        <f t="shared" si="9"/>
        <v>6.045999999999992</v>
      </c>
      <c r="O26" s="163">
        <f t="shared" si="9"/>
        <v>8.732000000000028</v>
      </c>
      <c r="P26" s="163">
        <f t="shared" si="9"/>
        <v>1.3780000000000001</v>
      </c>
      <c r="Q26" s="163">
        <f t="shared" si="9"/>
        <v>0</v>
      </c>
      <c r="R26" s="163">
        <f t="shared" si="9"/>
        <v>3233.5099999999948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6" ht="15">
      <c r="M44" s="649"/>
      <c r="Z44" s="26"/>
    </row>
    <row r="45" spans="13:26" ht="15">
      <c r="M45" s="649"/>
      <c r="Z45" s="26"/>
    </row>
    <row r="46" spans="13:26" ht="15">
      <c r="M46" s="649"/>
      <c r="Z46" s="26"/>
    </row>
    <row r="47" spans="13:26" ht="15">
      <c r="M47" s="649"/>
      <c r="Z47" s="26"/>
    </row>
    <row r="48" spans="13:26" ht="15">
      <c r="M48" s="649"/>
      <c r="Z48" s="26"/>
    </row>
    <row r="49" spans="13:26" ht="15">
      <c r="M49" s="649"/>
      <c r="Z49" s="26"/>
    </row>
    <row r="50" spans="13:26" ht="15">
      <c r="M50" s="649"/>
      <c r="Z50" s="26"/>
    </row>
  </sheetData>
  <sheetProtection/>
  <mergeCells count="22"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A20:B20"/>
    <mergeCell ref="B21:T21"/>
    <mergeCell ref="U4:U6"/>
    <mergeCell ref="Z4:Z6"/>
    <mergeCell ref="C5:C6"/>
    <mergeCell ref="D5:F5"/>
    <mergeCell ref="G5:G6"/>
    <mergeCell ref="H5:K5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24" t="s">
        <v>300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</row>
    <row r="2" spans="1:26" s="148" customFormat="1" ht="22.5" customHeight="1">
      <c r="A2" s="925" t="s">
        <v>305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</row>
    <row r="3" spans="1:26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</row>
    <row r="4" spans="1:26" s="151" customFormat="1" ht="33" customHeight="1">
      <c r="A4" s="995" t="s">
        <v>0</v>
      </c>
      <c r="B4" s="912" t="s">
        <v>160</v>
      </c>
      <c r="C4" s="986" t="s">
        <v>25</v>
      </c>
      <c r="D4" s="986"/>
      <c r="E4" s="986"/>
      <c r="F4" s="986"/>
      <c r="G4" s="991" t="s">
        <v>26</v>
      </c>
      <c r="H4" s="992"/>
      <c r="I4" s="992"/>
      <c r="J4" s="992"/>
      <c r="K4" s="992"/>
      <c r="L4" s="993"/>
      <c r="M4" s="991" t="s">
        <v>44</v>
      </c>
      <c r="N4" s="992"/>
      <c r="O4" s="992"/>
      <c r="P4" s="992"/>
      <c r="Q4" s="992"/>
      <c r="R4" s="993"/>
      <c r="S4" s="996" t="s">
        <v>45</v>
      </c>
      <c r="T4" s="997"/>
      <c r="U4" s="997"/>
      <c r="V4" s="997"/>
      <c r="W4" s="997"/>
      <c r="X4" s="998"/>
      <c r="Y4" s="912" t="s">
        <v>43</v>
      </c>
      <c r="Z4" s="912" t="s">
        <v>14</v>
      </c>
    </row>
    <row r="5" spans="1:26" s="151" customFormat="1" ht="15.75" customHeight="1">
      <c r="A5" s="995"/>
      <c r="B5" s="912"/>
      <c r="C5" s="986" t="s">
        <v>20</v>
      </c>
      <c r="D5" s="1003" t="s">
        <v>21</v>
      </c>
      <c r="E5" s="1003"/>
      <c r="F5" s="1003"/>
      <c r="G5" s="912" t="s">
        <v>38</v>
      </c>
      <c r="H5" s="994" t="s">
        <v>21</v>
      </c>
      <c r="I5" s="994"/>
      <c r="J5" s="994"/>
      <c r="K5" s="994"/>
      <c r="L5" s="989" t="s">
        <v>202</v>
      </c>
      <c r="M5" s="912" t="s">
        <v>38</v>
      </c>
      <c r="N5" s="999" t="s">
        <v>21</v>
      </c>
      <c r="O5" s="1000"/>
      <c r="P5" s="1000"/>
      <c r="Q5" s="1001"/>
      <c r="R5" s="989" t="s">
        <v>37</v>
      </c>
      <c r="S5" s="912" t="s">
        <v>38</v>
      </c>
      <c r="T5" s="999" t="s">
        <v>21</v>
      </c>
      <c r="U5" s="1000"/>
      <c r="V5" s="1000"/>
      <c r="W5" s="1001"/>
      <c r="X5" s="989" t="s">
        <v>37</v>
      </c>
      <c r="Y5" s="912"/>
      <c r="Z5" s="912"/>
    </row>
    <row r="6" spans="1:26" s="151" customFormat="1" ht="102">
      <c r="A6" s="995"/>
      <c r="B6" s="912"/>
      <c r="C6" s="986"/>
      <c r="D6" s="371" t="s">
        <v>17</v>
      </c>
      <c r="E6" s="371" t="s">
        <v>18</v>
      </c>
      <c r="F6" s="371" t="s">
        <v>19</v>
      </c>
      <c r="G6" s="912"/>
      <c r="H6" s="370" t="s">
        <v>39</v>
      </c>
      <c r="I6" s="370" t="s">
        <v>40</v>
      </c>
      <c r="J6" s="370" t="s">
        <v>41</v>
      </c>
      <c r="K6" s="370" t="s">
        <v>42</v>
      </c>
      <c r="L6" s="990"/>
      <c r="M6" s="912"/>
      <c r="N6" s="370" t="s">
        <v>39</v>
      </c>
      <c r="O6" s="370" t="s">
        <v>40</v>
      </c>
      <c r="P6" s="370" t="s">
        <v>41</v>
      </c>
      <c r="Q6" s="370" t="s">
        <v>42</v>
      </c>
      <c r="R6" s="990"/>
      <c r="S6" s="912"/>
      <c r="T6" s="370" t="s">
        <v>39</v>
      </c>
      <c r="U6" s="370" t="s">
        <v>40</v>
      </c>
      <c r="V6" s="370" t="s">
        <v>41</v>
      </c>
      <c r="W6" s="370" t="s">
        <v>42</v>
      </c>
      <c r="X6" s="990"/>
      <c r="Y6" s="912"/>
      <c r="Z6" s="912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1002" t="s">
        <v>23</v>
      </c>
      <c r="B32" s="1002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A32:B32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24" t="s">
        <v>301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</row>
    <row r="2" spans="1:26" s="148" customFormat="1" ht="22.5" customHeight="1">
      <c r="A2" s="925" t="s">
        <v>305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</row>
    <row r="3" spans="1:26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</row>
    <row r="4" spans="1:26" s="151" customFormat="1" ht="33" customHeight="1">
      <c r="A4" s="995" t="s">
        <v>0</v>
      </c>
      <c r="B4" s="912" t="s">
        <v>160</v>
      </c>
      <c r="C4" s="986" t="s">
        <v>25</v>
      </c>
      <c r="D4" s="986"/>
      <c r="E4" s="986"/>
      <c r="F4" s="986"/>
      <c r="G4" s="991" t="s">
        <v>26</v>
      </c>
      <c r="H4" s="992"/>
      <c r="I4" s="992"/>
      <c r="J4" s="992"/>
      <c r="K4" s="992"/>
      <c r="L4" s="993"/>
      <c r="M4" s="991" t="s">
        <v>44</v>
      </c>
      <c r="N4" s="992"/>
      <c r="O4" s="992"/>
      <c r="P4" s="992"/>
      <c r="Q4" s="992"/>
      <c r="R4" s="993"/>
      <c r="S4" s="996" t="s">
        <v>45</v>
      </c>
      <c r="T4" s="997"/>
      <c r="U4" s="997"/>
      <c r="V4" s="997"/>
      <c r="W4" s="997"/>
      <c r="X4" s="998"/>
      <c r="Y4" s="912" t="s">
        <v>43</v>
      </c>
      <c r="Z4" s="912" t="s">
        <v>14</v>
      </c>
    </row>
    <row r="5" spans="1:26" s="151" customFormat="1" ht="15.75" customHeight="1">
      <c r="A5" s="995"/>
      <c r="B5" s="912"/>
      <c r="C5" s="986" t="s">
        <v>20</v>
      </c>
      <c r="D5" s="1003" t="s">
        <v>21</v>
      </c>
      <c r="E5" s="1003"/>
      <c r="F5" s="1003"/>
      <c r="G5" s="912" t="s">
        <v>38</v>
      </c>
      <c r="H5" s="994" t="s">
        <v>21</v>
      </c>
      <c r="I5" s="994"/>
      <c r="J5" s="994"/>
      <c r="K5" s="994"/>
      <c r="L5" s="989" t="s">
        <v>202</v>
      </c>
      <c r="M5" s="912" t="s">
        <v>38</v>
      </c>
      <c r="N5" s="999" t="s">
        <v>21</v>
      </c>
      <c r="O5" s="1000"/>
      <c r="P5" s="1000"/>
      <c r="Q5" s="1001"/>
      <c r="R5" s="989" t="s">
        <v>37</v>
      </c>
      <c r="S5" s="912" t="s">
        <v>38</v>
      </c>
      <c r="T5" s="999" t="s">
        <v>21</v>
      </c>
      <c r="U5" s="1000"/>
      <c r="V5" s="1000"/>
      <c r="W5" s="1001"/>
      <c r="X5" s="989" t="s">
        <v>37</v>
      </c>
      <c r="Y5" s="912"/>
      <c r="Z5" s="912"/>
    </row>
    <row r="6" spans="1:26" s="151" customFormat="1" ht="95.25" customHeight="1">
      <c r="A6" s="995"/>
      <c r="B6" s="912"/>
      <c r="C6" s="986"/>
      <c r="D6" s="371" t="s">
        <v>17</v>
      </c>
      <c r="E6" s="371" t="s">
        <v>18</v>
      </c>
      <c r="F6" s="371" t="s">
        <v>19</v>
      </c>
      <c r="G6" s="912"/>
      <c r="H6" s="370" t="s">
        <v>39</v>
      </c>
      <c r="I6" s="370" t="s">
        <v>40</v>
      </c>
      <c r="J6" s="370" t="s">
        <v>41</v>
      </c>
      <c r="K6" s="370" t="s">
        <v>42</v>
      </c>
      <c r="L6" s="990"/>
      <c r="M6" s="912"/>
      <c r="N6" s="370" t="s">
        <v>39</v>
      </c>
      <c r="O6" s="370" t="s">
        <v>40</v>
      </c>
      <c r="P6" s="370" t="s">
        <v>41</v>
      </c>
      <c r="Q6" s="370" t="s">
        <v>42</v>
      </c>
      <c r="R6" s="990"/>
      <c r="S6" s="912"/>
      <c r="T6" s="370" t="s">
        <v>39</v>
      </c>
      <c r="U6" s="370" t="s">
        <v>40</v>
      </c>
      <c r="V6" s="370" t="s">
        <v>41</v>
      </c>
      <c r="W6" s="370" t="s">
        <v>42</v>
      </c>
      <c r="X6" s="990"/>
      <c r="Y6" s="912"/>
      <c r="Z6" s="912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1002" t="s">
        <v>23</v>
      </c>
      <c r="B38" s="1002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8:B3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24" t="s">
        <v>302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</row>
    <row r="2" spans="1:26" s="148" customFormat="1" ht="22.5" customHeight="1">
      <c r="A2" s="925" t="s">
        <v>305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</row>
    <row r="3" spans="1:26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</row>
    <row r="4" spans="1:26" s="151" customFormat="1" ht="33" customHeight="1">
      <c r="A4" s="918" t="s">
        <v>0</v>
      </c>
      <c r="B4" s="916" t="s">
        <v>160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27" t="s">
        <v>44</v>
      </c>
      <c r="N4" s="928"/>
      <c r="O4" s="928"/>
      <c r="P4" s="928"/>
      <c r="Q4" s="928"/>
      <c r="R4" s="929"/>
      <c r="S4" s="930" t="s">
        <v>45</v>
      </c>
      <c r="T4" s="931"/>
      <c r="U4" s="931"/>
      <c r="V4" s="931"/>
      <c r="W4" s="931"/>
      <c r="X4" s="932"/>
      <c r="Y4" s="912" t="s">
        <v>43</v>
      </c>
      <c r="Z4" s="912" t="s">
        <v>14</v>
      </c>
    </row>
    <row r="5" spans="1:26" s="151" customFormat="1" ht="15.7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6" t="s">
        <v>38</v>
      </c>
      <c r="T5" s="919" t="s">
        <v>21</v>
      </c>
      <c r="U5" s="920"/>
      <c r="V5" s="920"/>
      <c r="W5" s="921"/>
      <c r="X5" s="922" t="s">
        <v>37</v>
      </c>
      <c r="Y5" s="912"/>
      <c r="Z5" s="912"/>
    </row>
    <row r="6" spans="1:26" s="151" customFormat="1" ht="102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6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12"/>
      <c r="Z6" s="912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1004" t="s">
        <v>23</v>
      </c>
      <c r="B21" s="1004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1:B21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924" t="s">
        <v>88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146"/>
      <c r="X1" s="146"/>
    </row>
    <row r="2" spans="1:24" s="148" customFormat="1" ht="22.5" customHeight="1">
      <c r="A2" s="925" t="s">
        <v>305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147"/>
      <c r="X2" s="147"/>
    </row>
    <row r="3" spans="1:24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147"/>
      <c r="X3" s="147"/>
    </row>
    <row r="4" spans="1:23" s="151" customFormat="1" ht="30" customHeight="1">
      <c r="A4" s="918" t="s">
        <v>0</v>
      </c>
      <c r="B4" s="916" t="s">
        <v>51</v>
      </c>
      <c r="C4" s="927" t="s">
        <v>26</v>
      </c>
      <c r="D4" s="928"/>
      <c r="E4" s="928"/>
      <c r="F4" s="928"/>
      <c r="G4" s="928"/>
      <c r="H4" s="929"/>
      <c r="I4" s="927" t="s">
        <v>44</v>
      </c>
      <c r="J4" s="928"/>
      <c r="K4" s="928"/>
      <c r="L4" s="928"/>
      <c r="M4" s="928"/>
      <c r="N4" s="929"/>
      <c r="O4" s="930" t="s">
        <v>45</v>
      </c>
      <c r="P4" s="931"/>
      <c r="Q4" s="931"/>
      <c r="R4" s="931"/>
      <c r="S4" s="931"/>
      <c r="T4" s="932"/>
      <c r="U4" s="912" t="s">
        <v>43</v>
      </c>
      <c r="V4" s="918" t="s">
        <v>14</v>
      </c>
      <c r="W4" s="150"/>
    </row>
    <row r="5" spans="1:24" s="151" customFormat="1" ht="18" customHeight="1">
      <c r="A5" s="918"/>
      <c r="B5" s="916"/>
      <c r="C5" s="916" t="s">
        <v>38</v>
      </c>
      <c r="D5" s="917" t="s">
        <v>21</v>
      </c>
      <c r="E5" s="917"/>
      <c r="F5" s="917"/>
      <c r="G5" s="917"/>
      <c r="H5" s="922" t="s">
        <v>201</v>
      </c>
      <c r="I5" s="916" t="s">
        <v>38</v>
      </c>
      <c r="J5" s="919" t="s">
        <v>21</v>
      </c>
      <c r="K5" s="920"/>
      <c r="L5" s="920"/>
      <c r="M5" s="921"/>
      <c r="N5" s="922" t="s">
        <v>37</v>
      </c>
      <c r="O5" s="916" t="s">
        <v>38</v>
      </c>
      <c r="P5" s="919" t="s">
        <v>21</v>
      </c>
      <c r="Q5" s="920"/>
      <c r="R5" s="920"/>
      <c r="S5" s="921"/>
      <c r="T5" s="922" t="s">
        <v>37</v>
      </c>
      <c r="U5" s="912"/>
      <c r="V5" s="918"/>
      <c r="W5" s="152"/>
      <c r="X5" s="153"/>
    </row>
    <row r="6" spans="1:24" s="151" customFormat="1" ht="102">
      <c r="A6" s="918"/>
      <c r="B6" s="916"/>
      <c r="C6" s="916"/>
      <c r="D6" s="149" t="s">
        <v>39</v>
      </c>
      <c r="E6" s="149" t="s">
        <v>40</v>
      </c>
      <c r="F6" s="149" t="s">
        <v>41</v>
      </c>
      <c r="G6" s="149" t="s">
        <v>42</v>
      </c>
      <c r="H6" s="923"/>
      <c r="I6" s="916"/>
      <c r="J6" s="149" t="s">
        <v>39</v>
      </c>
      <c r="K6" s="149" t="s">
        <v>40</v>
      </c>
      <c r="L6" s="149" t="s">
        <v>41</v>
      </c>
      <c r="M6" s="149" t="s">
        <v>42</v>
      </c>
      <c r="N6" s="923"/>
      <c r="O6" s="916"/>
      <c r="P6" s="149" t="s">
        <v>39</v>
      </c>
      <c r="Q6" s="149" t="s">
        <v>40</v>
      </c>
      <c r="R6" s="149" t="s">
        <v>41</v>
      </c>
      <c r="S6" s="149" t="s">
        <v>42</v>
      </c>
      <c r="T6" s="923"/>
      <c r="U6" s="912"/>
      <c r="V6" s="918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933" t="s">
        <v>23</v>
      </c>
      <c r="B40" s="934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24" t="s">
        <v>303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</row>
    <row r="2" spans="1:26" s="148" customFormat="1" ht="22.5" customHeight="1">
      <c r="A2" s="925" t="s">
        <v>305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</row>
    <row r="3" spans="1:26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</row>
    <row r="4" spans="1:26" s="151" customFormat="1" ht="33" customHeight="1">
      <c r="A4" s="918" t="s">
        <v>0</v>
      </c>
      <c r="B4" s="916" t="s">
        <v>160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27" t="s">
        <v>44</v>
      </c>
      <c r="N4" s="928"/>
      <c r="O4" s="928"/>
      <c r="P4" s="928"/>
      <c r="Q4" s="928"/>
      <c r="R4" s="929"/>
      <c r="S4" s="930" t="s">
        <v>45</v>
      </c>
      <c r="T4" s="931"/>
      <c r="U4" s="931"/>
      <c r="V4" s="931"/>
      <c r="W4" s="931"/>
      <c r="X4" s="932"/>
      <c r="Y4" s="912" t="s">
        <v>43</v>
      </c>
      <c r="Z4" s="912" t="s">
        <v>14</v>
      </c>
    </row>
    <row r="5" spans="1:26" s="151" customFormat="1" ht="15.7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6" t="s">
        <v>38</v>
      </c>
      <c r="T5" s="919" t="s">
        <v>21</v>
      </c>
      <c r="U5" s="920"/>
      <c r="V5" s="920"/>
      <c r="W5" s="921"/>
      <c r="X5" s="922" t="s">
        <v>37</v>
      </c>
      <c r="Y5" s="912"/>
      <c r="Z5" s="912"/>
    </row>
    <row r="6" spans="1:26" s="151" customFormat="1" ht="102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6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12"/>
      <c r="Z6" s="912"/>
    </row>
    <row r="7" spans="1:26" s="68" customFormat="1" ht="24" customHeight="1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/>
      <c r="M7" s="338">
        <f>SUM(N7:Q7)</f>
        <v>0</v>
      </c>
      <c r="N7" s="321"/>
      <c r="O7" s="321"/>
      <c r="P7" s="321"/>
      <c r="Q7" s="322"/>
      <c r="R7" s="321"/>
      <c r="S7" s="338">
        <f>SUM(T7:W7)</f>
        <v>1.198</v>
      </c>
      <c r="T7" s="357">
        <v>0.43</v>
      </c>
      <c r="U7" s="357"/>
      <c r="V7" s="358">
        <v>0.768</v>
      </c>
      <c r="W7" s="357"/>
      <c r="X7" s="357">
        <v>35</v>
      </c>
      <c r="Y7" s="369">
        <f>+S7/G7</f>
        <v>0.4607692307692307</v>
      </c>
      <c r="Z7" s="340"/>
    </row>
    <row r="8" spans="1:26" ht="21.75" customHeight="1">
      <c r="A8" s="977" t="s">
        <v>23</v>
      </c>
      <c r="B8" s="977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0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1.198</v>
      </c>
      <c r="T8" s="362">
        <f>+SUM(T7:T7)</f>
        <v>0.43</v>
      </c>
      <c r="U8" s="362">
        <f>+SUM(U7:U7)</f>
        <v>0</v>
      </c>
      <c r="V8" s="362">
        <f>+SUM(V7:V7)</f>
        <v>0.768</v>
      </c>
      <c r="W8" s="362"/>
      <c r="X8" s="363">
        <f>+SUM(X7:X7)</f>
        <v>35</v>
      </c>
      <c r="Y8" s="361">
        <f>+S8/G8</f>
        <v>0.4607692307692307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A8:B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24" t="s">
        <v>304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</row>
    <row r="2" spans="1:26" s="148" customFormat="1" ht="22.5" customHeight="1">
      <c r="A2" s="925" t="s">
        <v>305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</row>
    <row r="3" spans="1:26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</row>
    <row r="4" spans="1:26" s="151" customFormat="1" ht="33" customHeight="1">
      <c r="A4" s="918" t="s">
        <v>0</v>
      </c>
      <c r="B4" s="916" t="s">
        <v>160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27" t="s">
        <v>44</v>
      </c>
      <c r="N4" s="928"/>
      <c r="O4" s="928"/>
      <c r="P4" s="928"/>
      <c r="Q4" s="928"/>
      <c r="R4" s="929"/>
      <c r="S4" s="930" t="s">
        <v>45</v>
      </c>
      <c r="T4" s="931"/>
      <c r="U4" s="931"/>
      <c r="V4" s="931"/>
      <c r="W4" s="931"/>
      <c r="X4" s="932"/>
      <c r="Y4" s="912" t="s">
        <v>43</v>
      </c>
      <c r="Z4" s="912" t="s">
        <v>14</v>
      </c>
    </row>
    <row r="5" spans="1:26" s="151" customFormat="1" ht="15.7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6" t="s">
        <v>38</v>
      </c>
      <c r="T5" s="919" t="s">
        <v>21</v>
      </c>
      <c r="U5" s="920"/>
      <c r="V5" s="920"/>
      <c r="W5" s="921"/>
      <c r="X5" s="922" t="s">
        <v>37</v>
      </c>
      <c r="Y5" s="912"/>
      <c r="Z5" s="912"/>
    </row>
    <row r="6" spans="1:26" s="151" customFormat="1" ht="102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6"/>
      <c r="T6" s="149" t="s">
        <v>39</v>
      </c>
      <c r="U6" s="149" t="s">
        <v>40</v>
      </c>
      <c r="V6" s="149" t="s">
        <v>41</v>
      </c>
      <c r="W6" s="149" t="s">
        <v>42</v>
      </c>
      <c r="X6" s="923"/>
      <c r="Y6" s="912"/>
      <c r="Z6" s="912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1005" t="s">
        <v>23</v>
      </c>
      <c r="B13" s="1005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3:B13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636"/>
      <c r="V1" s="636"/>
      <c r="W1" s="146"/>
      <c r="X1" s="146"/>
    </row>
    <row r="2" spans="1:24" s="148" customFormat="1" ht="22.5" customHeight="1">
      <c r="A2" s="925" t="s">
        <v>372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637"/>
      <c r="V2" s="637"/>
      <c r="W2" s="147"/>
      <c r="X2" s="147"/>
    </row>
    <row r="3" spans="1:24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658"/>
      <c r="V3" s="658"/>
      <c r="W3" s="147"/>
      <c r="X3" s="147"/>
    </row>
    <row r="4" spans="1:23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30" t="s">
        <v>307</v>
      </c>
      <c r="N4" s="931"/>
      <c r="O4" s="931"/>
      <c r="P4" s="931"/>
      <c r="Q4" s="931"/>
      <c r="R4" s="932"/>
      <c r="S4" s="912" t="s">
        <v>43</v>
      </c>
      <c r="T4" s="918" t="s">
        <v>14</v>
      </c>
      <c r="U4" s="912" t="s">
        <v>329</v>
      </c>
      <c r="V4" s="913" t="s">
        <v>313</v>
      </c>
      <c r="W4" s="150"/>
    </row>
    <row r="5" spans="1:24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2"/>
      <c r="T5" s="918"/>
      <c r="U5" s="912"/>
      <c r="V5" s="913"/>
      <c r="W5" s="152"/>
      <c r="X5" s="153"/>
    </row>
    <row r="6" spans="1:24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2"/>
      <c r="T6" s="918"/>
      <c r="U6" s="912"/>
      <c r="V6" s="913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895" t="s">
        <v>23</v>
      </c>
      <c r="B20" s="896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79406.5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79406.5</v>
      </c>
    </row>
    <row r="25" spans="12:18" ht="15">
      <c r="L25" s="831" t="s">
        <v>362</v>
      </c>
      <c r="M25" s="163">
        <f>+'26.9.2013'!M20</f>
        <v>586.5480000000001</v>
      </c>
      <c r="N25" s="163">
        <f>+'26.9.2013'!N20</f>
        <v>144.436</v>
      </c>
      <c r="O25" s="163">
        <f>+'26.9.2013'!O20</f>
        <v>321.916</v>
      </c>
      <c r="P25" s="163">
        <f>+'26.9.2013'!P20</f>
        <v>116.99600000000002</v>
      </c>
      <c r="Q25" s="163">
        <f>+'26.9.2013'!Q20</f>
        <v>3.2</v>
      </c>
      <c r="R25" s="163">
        <f>+'26.9.2013'!R20</f>
        <v>79406.5</v>
      </c>
    </row>
    <row r="26" spans="12:18" ht="15">
      <c r="L26" s="831" t="s">
        <v>363</v>
      </c>
      <c r="M26" s="163">
        <f aca="true" t="shared" si="7" ref="M26:R26">+M20-M25</f>
        <v>0</v>
      </c>
      <c r="N26" s="163">
        <f t="shared" si="7"/>
        <v>0</v>
      </c>
      <c r="O26" s="163">
        <f t="shared" si="7"/>
        <v>0</v>
      </c>
      <c r="P26" s="163">
        <f t="shared" si="7"/>
        <v>0</v>
      </c>
      <c r="Q26" s="163">
        <f t="shared" si="7"/>
        <v>0</v>
      </c>
      <c r="R26" s="163">
        <f t="shared" si="7"/>
        <v>0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S4:S6"/>
    <mergeCell ref="T4:T6"/>
    <mergeCell ref="L5:L6"/>
    <mergeCell ref="M5:M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6" sqref="M16:U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636"/>
      <c r="V1" s="636"/>
      <c r="W1" s="146"/>
      <c r="X1" s="146"/>
    </row>
    <row r="2" spans="1:24" s="148" customFormat="1" ht="22.5" customHeight="1">
      <c r="A2" s="925" t="s">
        <v>370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637"/>
      <c r="V2" s="637"/>
      <c r="W2" s="147"/>
      <c r="X2" s="147"/>
    </row>
    <row r="3" spans="1:24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658"/>
      <c r="V3" s="658"/>
      <c r="W3" s="147"/>
      <c r="X3" s="147"/>
    </row>
    <row r="4" spans="1:23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30" t="s">
        <v>307</v>
      </c>
      <c r="N4" s="931"/>
      <c r="O4" s="931"/>
      <c r="P4" s="931"/>
      <c r="Q4" s="931"/>
      <c r="R4" s="932"/>
      <c r="S4" s="912" t="s">
        <v>43</v>
      </c>
      <c r="T4" s="918" t="s">
        <v>14</v>
      </c>
      <c r="U4" s="912" t="s">
        <v>329</v>
      </c>
      <c r="V4" s="913" t="s">
        <v>313</v>
      </c>
      <c r="W4" s="150"/>
    </row>
    <row r="5" spans="1:24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2"/>
      <c r="T5" s="918"/>
      <c r="U5" s="912"/>
      <c r="V5" s="913"/>
      <c r="W5" s="152"/>
      <c r="X5" s="153"/>
    </row>
    <row r="6" spans="1:24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2"/>
      <c r="T6" s="918"/>
      <c r="U6" s="912"/>
      <c r="V6" s="913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895" t="s">
        <v>23</v>
      </c>
      <c r="B20" s="896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79406.5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79406.5</v>
      </c>
    </row>
    <row r="25" spans="12:18" ht="15">
      <c r="L25" s="831" t="s">
        <v>362</v>
      </c>
      <c r="M25" s="163">
        <f>+'19.9.2013'!M20</f>
        <v>558.9700000000001</v>
      </c>
      <c r="N25" s="163">
        <f>+'19.9.2013'!N20</f>
        <v>136.097</v>
      </c>
      <c r="O25" s="163">
        <f>+'19.9.2013'!O20</f>
        <v>309.24299999999994</v>
      </c>
      <c r="P25" s="163">
        <f>+'19.9.2013'!P20</f>
        <v>112.33000000000001</v>
      </c>
      <c r="Q25" s="163">
        <f>+'19.9.2013'!Q20</f>
        <v>1.3</v>
      </c>
      <c r="R25" s="163">
        <f>+'19.9.2013'!R20</f>
        <v>77982.5</v>
      </c>
    </row>
    <row r="26" spans="12:18" ht="15">
      <c r="L26" s="831" t="s">
        <v>363</v>
      </c>
      <c r="M26" s="163">
        <f aca="true" t="shared" si="7" ref="M26:R26">+M20-M25</f>
        <v>27.577999999999975</v>
      </c>
      <c r="N26" s="163">
        <f t="shared" si="7"/>
        <v>8.338999999999999</v>
      </c>
      <c r="O26" s="163">
        <f t="shared" si="7"/>
        <v>12.673000000000059</v>
      </c>
      <c r="P26" s="163">
        <f t="shared" si="7"/>
        <v>4.666000000000011</v>
      </c>
      <c r="Q26" s="163">
        <f t="shared" si="7"/>
        <v>1.9000000000000001</v>
      </c>
      <c r="R26" s="163">
        <f t="shared" si="7"/>
        <v>1424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5" sqref="M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636"/>
      <c r="V1" s="636"/>
      <c r="W1" s="146"/>
      <c r="X1" s="146"/>
    </row>
    <row r="2" spans="1:24" s="148" customFormat="1" ht="22.5" customHeight="1">
      <c r="A2" s="925" t="s">
        <v>368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637"/>
      <c r="V2" s="637"/>
      <c r="W2" s="147"/>
      <c r="X2" s="147"/>
    </row>
    <row r="3" spans="1:24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658"/>
      <c r="V3" s="658"/>
      <c r="W3" s="147"/>
      <c r="X3" s="147"/>
    </row>
    <row r="4" spans="1:23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30" t="s">
        <v>307</v>
      </c>
      <c r="N4" s="931"/>
      <c r="O4" s="931"/>
      <c r="P4" s="931"/>
      <c r="Q4" s="931"/>
      <c r="R4" s="932"/>
      <c r="S4" s="912" t="s">
        <v>43</v>
      </c>
      <c r="T4" s="918" t="s">
        <v>14</v>
      </c>
      <c r="U4" s="912" t="s">
        <v>329</v>
      </c>
      <c r="V4" s="913" t="s">
        <v>313</v>
      </c>
      <c r="W4" s="150"/>
    </row>
    <row r="5" spans="1:24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2"/>
      <c r="T5" s="918"/>
      <c r="U5" s="912"/>
      <c r="V5" s="913"/>
      <c r="W5" s="152"/>
      <c r="X5" s="153"/>
    </row>
    <row r="6" spans="1:24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2"/>
      <c r="T6" s="918"/>
      <c r="U6" s="912"/>
      <c r="V6" s="913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84.899</v>
      </c>
      <c r="N15" s="471">
        <v>16.2</v>
      </c>
      <c r="O15" s="471">
        <v>59.489</v>
      </c>
      <c r="P15" s="471">
        <v>9.21</v>
      </c>
      <c r="Q15" s="471"/>
      <c r="R15" s="618">
        <v>11071.27</v>
      </c>
      <c r="S15" s="604">
        <f t="shared" si="0"/>
        <v>0.9031808510638298</v>
      </c>
      <c r="T15" s="473" t="s">
        <v>360</v>
      </c>
      <c r="U15" s="756">
        <f>26.6+7.2</f>
        <v>33.800000000000004</v>
      </c>
      <c r="V15" s="646">
        <f t="shared" si="3"/>
        <v>118.69900000000001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895" t="s">
        <v>23</v>
      </c>
      <c r="B20" s="896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568.6690000000002</v>
      </c>
      <c r="N20" s="821">
        <f t="shared" si="5"/>
        <v>136.877</v>
      </c>
      <c r="O20" s="820">
        <f t="shared" si="5"/>
        <v>318.282</v>
      </c>
      <c r="P20" s="820">
        <f t="shared" si="5"/>
        <v>112.21000000000002</v>
      </c>
      <c r="Q20" s="820">
        <f t="shared" si="5"/>
        <v>1.3</v>
      </c>
      <c r="R20" s="822">
        <f t="shared" si="5"/>
        <v>78249.27</v>
      </c>
      <c r="S20" s="823">
        <f t="shared" si="0"/>
        <v>0.761058500444321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666.3400000000001</v>
      </c>
    </row>
    <row r="21" spans="2:22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568.6690000000002</v>
      </c>
      <c r="N24" s="163">
        <f t="shared" si="6"/>
        <v>136.877</v>
      </c>
      <c r="O24" s="163">
        <f t="shared" si="6"/>
        <v>318.282</v>
      </c>
      <c r="P24" s="163">
        <f t="shared" si="6"/>
        <v>112.21000000000002</v>
      </c>
      <c r="Q24" s="163">
        <f t="shared" si="6"/>
        <v>1.3</v>
      </c>
      <c r="R24" s="163">
        <f t="shared" si="6"/>
        <v>78249.27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33.05100000000016</v>
      </c>
      <c r="N26" s="163">
        <f t="shared" si="7"/>
        <v>9.376999999999981</v>
      </c>
      <c r="O26" s="163">
        <f t="shared" si="7"/>
        <v>34.54199999999997</v>
      </c>
      <c r="P26" s="163">
        <f t="shared" si="7"/>
        <v>4.7520000000000095</v>
      </c>
      <c r="Q26" s="163">
        <f t="shared" si="7"/>
        <v>0</v>
      </c>
      <c r="R26" s="163">
        <f t="shared" si="7"/>
        <v>8280.37000000001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G4:L4"/>
    <mergeCell ref="M4:R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P9" sqref="P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636"/>
      <c r="V1" s="636"/>
      <c r="W1" s="146"/>
      <c r="X1" s="146"/>
    </row>
    <row r="2" spans="1:24" s="148" customFormat="1" ht="22.5" customHeight="1">
      <c r="A2" s="925" t="s">
        <v>368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637"/>
      <c r="V2" s="637"/>
      <c r="W2" s="147"/>
      <c r="X2" s="147"/>
    </row>
    <row r="3" spans="1:24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658"/>
      <c r="V3" s="658"/>
      <c r="W3" s="147"/>
      <c r="X3" s="147"/>
    </row>
    <row r="4" spans="1:23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30" t="s">
        <v>307</v>
      </c>
      <c r="N4" s="931"/>
      <c r="O4" s="931"/>
      <c r="P4" s="931"/>
      <c r="Q4" s="931"/>
      <c r="R4" s="932"/>
      <c r="S4" s="912" t="s">
        <v>43</v>
      </c>
      <c r="T4" s="918" t="s">
        <v>14</v>
      </c>
      <c r="U4" s="912" t="s">
        <v>329</v>
      </c>
      <c r="V4" s="913" t="s">
        <v>313</v>
      </c>
      <c r="W4" s="150"/>
    </row>
    <row r="5" spans="1:24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2"/>
      <c r="T5" s="918"/>
      <c r="U5" s="912"/>
      <c r="V5" s="913"/>
      <c r="W5" s="152"/>
      <c r="X5" s="153"/>
    </row>
    <row r="6" spans="1:24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2"/>
      <c r="T6" s="918"/>
      <c r="U6" s="912"/>
      <c r="V6" s="913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895" t="s">
        <v>23</v>
      </c>
      <c r="B20" s="896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558.9700000000001</v>
      </c>
      <c r="N20" s="821">
        <f t="shared" si="5"/>
        <v>136.097</v>
      </c>
      <c r="O20" s="820">
        <f t="shared" si="5"/>
        <v>309.24299999999994</v>
      </c>
      <c r="P20" s="820">
        <f t="shared" si="5"/>
        <v>112.33000000000001</v>
      </c>
      <c r="Q20" s="820">
        <f t="shared" si="5"/>
        <v>1.3</v>
      </c>
      <c r="R20" s="822">
        <f t="shared" si="5"/>
        <v>77982.5</v>
      </c>
      <c r="S20" s="823">
        <f t="shared" si="0"/>
        <v>0.7480781790344859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656.6410000000001</v>
      </c>
    </row>
    <row r="21" spans="2:22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558.9700000000001</v>
      </c>
      <c r="N24" s="163">
        <f t="shared" si="6"/>
        <v>136.097</v>
      </c>
      <c r="O24" s="163">
        <f t="shared" si="6"/>
        <v>309.24299999999994</v>
      </c>
      <c r="P24" s="163">
        <f t="shared" si="6"/>
        <v>112.33000000000001</v>
      </c>
      <c r="Q24" s="163">
        <f t="shared" si="6"/>
        <v>1.3</v>
      </c>
      <c r="R24" s="163">
        <f t="shared" si="6"/>
        <v>77982.5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23.35200000000009</v>
      </c>
      <c r="N26" s="163">
        <f t="shared" si="7"/>
        <v>8.59699999999998</v>
      </c>
      <c r="O26" s="163">
        <f t="shared" si="7"/>
        <v>25.50299999999993</v>
      </c>
      <c r="P26" s="163">
        <f t="shared" si="7"/>
        <v>4.872</v>
      </c>
      <c r="Q26" s="163">
        <f t="shared" si="7"/>
        <v>0</v>
      </c>
      <c r="R26" s="163">
        <f t="shared" si="7"/>
        <v>8013.600000000006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L5:L6"/>
    <mergeCell ref="M5:M6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636"/>
      <c r="V1" s="636"/>
      <c r="W1" s="146"/>
      <c r="X1" s="146"/>
    </row>
    <row r="2" spans="1:24" s="148" customFormat="1" ht="22.5" customHeight="1">
      <c r="A2" s="925" t="s">
        <v>367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637"/>
      <c r="V2" s="637"/>
      <c r="W2" s="147"/>
      <c r="X2" s="147"/>
    </row>
    <row r="3" spans="1:24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658"/>
      <c r="V3" s="658"/>
      <c r="W3" s="147"/>
      <c r="X3" s="147"/>
    </row>
    <row r="4" spans="1:23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30" t="s">
        <v>307</v>
      </c>
      <c r="N4" s="931"/>
      <c r="O4" s="931"/>
      <c r="P4" s="931"/>
      <c r="Q4" s="931"/>
      <c r="R4" s="932"/>
      <c r="S4" s="912" t="s">
        <v>43</v>
      </c>
      <c r="T4" s="918" t="s">
        <v>14</v>
      </c>
      <c r="U4" s="912" t="s">
        <v>329</v>
      </c>
      <c r="V4" s="913" t="s">
        <v>313</v>
      </c>
      <c r="W4" s="150"/>
    </row>
    <row r="5" spans="1:24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2"/>
      <c r="T5" s="918"/>
      <c r="U5" s="912"/>
      <c r="V5" s="913"/>
      <c r="W5" s="152"/>
      <c r="X5" s="153"/>
    </row>
    <row r="6" spans="1:24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2"/>
      <c r="T6" s="918"/>
      <c r="U6" s="912"/>
      <c r="V6" s="913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8626.65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6245.85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18.26</v>
      </c>
      <c r="N11" s="607">
        <f>4+1.57</f>
        <v>5.57</v>
      </c>
      <c r="O11" s="471">
        <v>5.82</v>
      </c>
      <c r="P11" s="471">
        <v>6.87</v>
      </c>
      <c r="Q11" s="471"/>
      <c r="R11" s="618">
        <v>1891</v>
      </c>
      <c r="S11" s="604">
        <f t="shared" si="0"/>
        <v>0.30433333333333334</v>
      </c>
      <c r="T11" s="828" t="s">
        <v>349</v>
      </c>
      <c r="U11" s="756">
        <v>10.27</v>
      </c>
      <c r="V11" s="646">
        <f t="shared" si="3"/>
        <v>28.53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73.2</v>
      </c>
      <c r="N12" s="471">
        <v>17.3</v>
      </c>
      <c r="O12" s="471">
        <v>48.7</v>
      </c>
      <c r="P12" s="471">
        <v>5.9</v>
      </c>
      <c r="Q12" s="471">
        <v>1.3</v>
      </c>
      <c r="R12" s="618">
        <v>10362</v>
      </c>
      <c r="S12" s="604">
        <f t="shared" si="0"/>
        <v>0.8672061036145436</v>
      </c>
      <c r="T12" s="828" t="s">
        <v>366</v>
      </c>
      <c r="U12" s="756">
        <v>1.3</v>
      </c>
      <c r="V12" s="646">
        <f t="shared" si="3"/>
        <v>74.5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88.53</v>
      </c>
      <c r="N14" s="471">
        <v>18.5</v>
      </c>
      <c r="O14" s="471">
        <v>38.84</v>
      </c>
      <c r="P14" s="471">
        <v>31.19</v>
      </c>
      <c r="Q14" s="471"/>
      <c r="R14" s="618">
        <v>9752.3</v>
      </c>
      <c r="S14" s="604">
        <f t="shared" si="0"/>
        <v>0.6640414041404141</v>
      </c>
      <c r="T14" s="473" t="s">
        <v>365</v>
      </c>
      <c r="U14" s="756">
        <f>4+14.46</f>
        <v>18.46</v>
      </c>
      <c r="V14" s="646">
        <f t="shared" si="3"/>
        <v>106.99000000000001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29.17</v>
      </c>
      <c r="N16" s="471">
        <v>5.23</v>
      </c>
      <c r="O16" s="471">
        <f>2.5+19.52</f>
        <v>22.02</v>
      </c>
      <c r="P16" s="471">
        <v>1.92</v>
      </c>
      <c r="Q16" s="471"/>
      <c r="R16" s="618">
        <v>4995.5</v>
      </c>
      <c r="S16" s="604">
        <f t="shared" si="0"/>
        <v>0.7564834024896265</v>
      </c>
      <c r="T16" s="473" t="s">
        <v>344</v>
      </c>
      <c r="U16" s="756">
        <f>1+1.3</f>
        <v>2.3</v>
      </c>
      <c r="V16" s="646">
        <f t="shared" si="3"/>
        <v>31.470000000000002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75.61</v>
      </c>
      <c r="N17" s="471">
        <v>32.06</v>
      </c>
      <c r="O17" s="471">
        <v>42.55</v>
      </c>
      <c r="P17" s="471">
        <v>1</v>
      </c>
      <c r="Q17" s="471"/>
      <c r="R17" s="618">
        <v>11500</v>
      </c>
      <c r="S17" s="604">
        <f t="shared" si="0"/>
        <v>0.8213121877036716</v>
      </c>
      <c r="T17" s="828" t="s">
        <v>358</v>
      </c>
      <c r="U17" s="756">
        <f>12+6.95</f>
        <v>18.95</v>
      </c>
      <c r="V17" s="646">
        <f t="shared" si="3"/>
        <v>94.56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895" t="s">
        <v>23</v>
      </c>
      <c r="B20" s="896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535.618</v>
      </c>
      <c r="N20" s="821">
        <f t="shared" si="5"/>
        <v>133.3</v>
      </c>
      <c r="O20" s="820">
        <f t="shared" si="5"/>
        <v>290.67999999999995</v>
      </c>
      <c r="P20" s="820">
        <f t="shared" si="5"/>
        <v>110.33800000000001</v>
      </c>
      <c r="Q20" s="820">
        <f t="shared" si="5"/>
        <v>1.3</v>
      </c>
      <c r="R20" s="822">
        <f t="shared" si="5"/>
        <v>76594.8</v>
      </c>
      <c r="S20" s="823">
        <f t="shared" si="0"/>
        <v>0.7168258369824735</v>
      </c>
      <c r="T20" s="824" t="str">
        <f>+U4&amp;U20&amp;" km"</f>
        <v>Tổng đường dự án và đường khác: 97,531 km</v>
      </c>
      <c r="U20" s="825">
        <f>+SUM(U8:U19)</f>
        <v>97.531</v>
      </c>
      <c r="V20" s="656">
        <f>SUM(V8:V19)</f>
        <v>633.149</v>
      </c>
    </row>
    <row r="21" spans="2:22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535.618</v>
      </c>
      <c r="N24" s="163">
        <f t="shared" si="6"/>
        <v>133.3</v>
      </c>
      <c r="O24" s="163">
        <f t="shared" si="6"/>
        <v>290.67999999999995</v>
      </c>
      <c r="P24" s="163">
        <f t="shared" si="6"/>
        <v>110.33800000000001</v>
      </c>
      <c r="Q24" s="163">
        <f t="shared" si="6"/>
        <v>1.3</v>
      </c>
      <c r="R24" s="163">
        <f t="shared" si="6"/>
        <v>76594.8</v>
      </c>
    </row>
    <row r="25" spans="12:18" ht="15">
      <c r="L25" s="831" t="s">
        <v>362</v>
      </c>
      <c r="M25" s="163">
        <f>+'05.9.2013'!M20</f>
        <v>519.998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15.620000000000005</v>
      </c>
      <c r="N26" s="163">
        <f t="shared" si="7"/>
        <v>5.799999999999983</v>
      </c>
      <c r="O26" s="163">
        <f t="shared" si="7"/>
        <v>6.939999999999941</v>
      </c>
      <c r="P26" s="163">
        <f t="shared" si="7"/>
        <v>2.8799999999999955</v>
      </c>
      <c r="Q26" s="163">
        <f t="shared" si="7"/>
        <v>0</v>
      </c>
      <c r="R26" s="163">
        <f t="shared" si="7"/>
        <v>6625.900000000009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11.844999999999999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6.5600000000000005</v>
      </c>
    </row>
    <row r="35" spans="2:10" ht="15">
      <c r="B35" s="26" t="s">
        <v>352</v>
      </c>
      <c r="G35" s="754">
        <f>SUM(H35:J35)</f>
        <v>28.53</v>
      </c>
      <c r="H35" s="26">
        <v>12.47</v>
      </c>
      <c r="I35" s="26">
        <v>5.92</v>
      </c>
      <c r="J35" s="26">
        <v>10.14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18.26</v>
      </c>
      <c r="H38" s="36">
        <f>+H34+H36</f>
        <v>5.569999999999999</v>
      </c>
      <c r="I38" s="36">
        <f>+I34+I36</f>
        <v>5.82</v>
      </c>
      <c r="J38" s="36">
        <f>+J34+J36</f>
        <v>6.87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L5:L6"/>
    <mergeCell ref="M5:M6"/>
    <mergeCell ref="G4:L4"/>
    <mergeCell ref="M4:R4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24" t="s">
        <v>36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636"/>
      <c r="V1" s="636"/>
      <c r="W1" s="146"/>
      <c r="X1" s="146"/>
    </row>
    <row r="2" spans="1:24" s="148" customFormat="1" ht="22.5" customHeight="1">
      <c r="A2" s="925" t="s">
        <v>356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637"/>
      <c r="V2" s="637"/>
      <c r="W2" s="147"/>
      <c r="X2" s="147"/>
    </row>
    <row r="3" spans="1:24" s="148" customFormat="1" ht="22.5" customHeight="1">
      <c r="A3" s="926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658"/>
      <c r="V3" s="658"/>
      <c r="W3" s="147"/>
      <c r="X3" s="147"/>
    </row>
    <row r="4" spans="1:23" s="151" customFormat="1" ht="46.5" customHeight="1">
      <c r="A4" s="918" t="s">
        <v>0</v>
      </c>
      <c r="B4" s="916" t="s">
        <v>1</v>
      </c>
      <c r="C4" s="914" t="s">
        <v>25</v>
      </c>
      <c r="D4" s="914"/>
      <c r="E4" s="914"/>
      <c r="F4" s="914"/>
      <c r="G4" s="927" t="s">
        <v>26</v>
      </c>
      <c r="H4" s="928"/>
      <c r="I4" s="928"/>
      <c r="J4" s="928"/>
      <c r="K4" s="928"/>
      <c r="L4" s="929"/>
      <c r="M4" s="930" t="s">
        <v>307</v>
      </c>
      <c r="N4" s="931"/>
      <c r="O4" s="931"/>
      <c r="P4" s="931"/>
      <c r="Q4" s="931"/>
      <c r="R4" s="932"/>
      <c r="S4" s="912" t="s">
        <v>43</v>
      </c>
      <c r="T4" s="918" t="s">
        <v>14</v>
      </c>
      <c r="U4" s="912" t="s">
        <v>329</v>
      </c>
      <c r="V4" s="913" t="s">
        <v>313</v>
      </c>
      <c r="W4" s="150"/>
    </row>
    <row r="5" spans="1:24" s="151" customFormat="1" ht="14.25" customHeight="1">
      <c r="A5" s="918"/>
      <c r="B5" s="916"/>
      <c r="C5" s="914" t="s">
        <v>20</v>
      </c>
      <c r="D5" s="915" t="s">
        <v>21</v>
      </c>
      <c r="E5" s="915"/>
      <c r="F5" s="915"/>
      <c r="G5" s="916" t="s">
        <v>38</v>
      </c>
      <c r="H5" s="917" t="s">
        <v>21</v>
      </c>
      <c r="I5" s="917"/>
      <c r="J5" s="917"/>
      <c r="K5" s="917"/>
      <c r="L5" s="922" t="s">
        <v>202</v>
      </c>
      <c r="M5" s="916" t="s">
        <v>38</v>
      </c>
      <c r="N5" s="919" t="s">
        <v>21</v>
      </c>
      <c r="O5" s="920"/>
      <c r="P5" s="920"/>
      <c r="Q5" s="921"/>
      <c r="R5" s="922" t="s">
        <v>37</v>
      </c>
      <c r="S5" s="912"/>
      <c r="T5" s="918"/>
      <c r="U5" s="912"/>
      <c r="V5" s="913"/>
      <c r="W5" s="152"/>
      <c r="X5" s="153"/>
    </row>
    <row r="6" spans="1:24" s="151" customFormat="1" ht="76.5">
      <c r="A6" s="918"/>
      <c r="B6" s="916"/>
      <c r="C6" s="914"/>
      <c r="D6" s="154" t="s">
        <v>17</v>
      </c>
      <c r="E6" s="154" t="s">
        <v>18</v>
      </c>
      <c r="F6" s="154" t="s">
        <v>19</v>
      </c>
      <c r="G6" s="916"/>
      <c r="H6" s="149" t="s">
        <v>39</v>
      </c>
      <c r="I6" s="149" t="s">
        <v>40</v>
      </c>
      <c r="J6" s="149" t="s">
        <v>41</v>
      </c>
      <c r="K6" s="149" t="s">
        <v>42</v>
      </c>
      <c r="L6" s="923"/>
      <c r="M6" s="916"/>
      <c r="N6" s="149" t="s">
        <v>39</v>
      </c>
      <c r="O6" s="149" t="s">
        <v>40</v>
      </c>
      <c r="P6" s="149" t="s">
        <v>41</v>
      </c>
      <c r="Q6" s="149" t="s">
        <v>42</v>
      </c>
      <c r="R6" s="923"/>
      <c r="S6" s="912"/>
      <c r="T6" s="918"/>
      <c r="U6" s="912"/>
      <c r="V6" s="913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8356.85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5523.85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17.96</v>
      </c>
      <c r="N11" s="607">
        <f>4+1.57</f>
        <v>5.57</v>
      </c>
      <c r="O11" s="471">
        <v>5.82</v>
      </c>
      <c r="P11" s="471">
        <v>6.57</v>
      </c>
      <c r="Q11" s="471"/>
      <c r="R11" s="618">
        <v>1891</v>
      </c>
      <c r="S11" s="604">
        <f t="shared" si="0"/>
        <v>0.29933333333333334</v>
      </c>
      <c r="T11" s="828" t="s">
        <v>349</v>
      </c>
      <c r="U11" s="756">
        <v>10.27</v>
      </c>
      <c r="V11" s="646">
        <f t="shared" si="3"/>
        <v>28.23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359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9241</v>
      </c>
      <c r="S15" s="604">
        <f t="shared" si="0"/>
        <v>0.751063829787234</v>
      </c>
      <c r="T15" s="473" t="s">
        <v>360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26.67</v>
      </c>
      <c r="N16" s="471">
        <v>5.23</v>
      </c>
      <c r="O16" s="471">
        <f>19.52</f>
        <v>19.52</v>
      </c>
      <c r="P16" s="471">
        <v>1.92</v>
      </c>
      <c r="Q16" s="471"/>
      <c r="R16" s="618">
        <v>4995.5</v>
      </c>
      <c r="S16" s="604">
        <f t="shared" si="0"/>
        <v>0.691649377593361</v>
      </c>
      <c r="T16" s="473" t="s">
        <v>344</v>
      </c>
      <c r="U16" s="756">
        <f>1+1.3</f>
        <v>2.3</v>
      </c>
      <c r="V16" s="646">
        <f t="shared" si="3"/>
        <v>28.970000000000002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75.15</v>
      </c>
      <c r="N17" s="471">
        <v>32.06</v>
      </c>
      <c r="O17" s="471">
        <v>42.09</v>
      </c>
      <c r="P17" s="471">
        <v>1</v>
      </c>
      <c r="Q17" s="471"/>
      <c r="R17" s="618">
        <v>8943.5</v>
      </c>
      <c r="S17" s="604">
        <f t="shared" si="0"/>
        <v>0.8163154464479688</v>
      </c>
      <c r="T17" s="828" t="s">
        <v>358</v>
      </c>
      <c r="U17" s="756">
        <f>12+6.95</f>
        <v>18.95</v>
      </c>
      <c r="V17" s="646">
        <f t="shared" si="3"/>
        <v>94.10000000000001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f>3.39</f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895" t="s">
        <v>23</v>
      </c>
      <c r="B20" s="896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519.998</v>
      </c>
      <c r="N20" s="821">
        <f t="shared" si="5"/>
        <v>127.50000000000003</v>
      </c>
      <c r="O20" s="820">
        <f t="shared" si="5"/>
        <v>283.74</v>
      </c>
      <c r="P20" s="820">
        <f t="shared" si="5"/>
        <v>107.45800000000001</v>
      </c>
      <c r="Q20" s="820">
        <f t="shared" si="5"/>
        <v>1.3</v>
      </c>
      <c r="R20" s="822">
        <f t="shared" si="5"/>
        <v>69968.9</v>
      </c>
      <c r="S20" s="823">
        <f t="shared" si="0"/>
        <v>0.6959213498784811</v>
      </c>
      <c r="T20" s="824" t="str">
        <f>+U4&amp;U20&amp;" km"</f>
        <v>Tổng đường dự án và đường khác: 95,66 km</v>
      </c>
      <c r="U20" s="825">
        <f>+SUM(U8:U19)</f>
        <v>95.66000000000001</v>
      </c>
      <c r="V20" s="656">
        <f>SUM(V8:V19)</f>
        <v>615.6580000000001</v>
      </c>
    </row>
    <row r="21" spans="2:22" ht="30" customHeight="1">
      <c r="B21" s="910" t="s">
        <v>48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519.998</v>
      </c>
      <c r="N24" s="163">
        <f t="shared" si="6"/>
        <v>127.50000000000003</v>
      </c>
      <c r="O24" s="163">
        <f t="shared" si="6"/>
        <v>283.74</v>
      </c>
      <c r="P24" s="163">
        <f t="shared" si="6"/>
        <v>107.45800000000001</v>
      </c>
      <c r="Q24" s="163">
        <f t="shared" si="6"/>
        <v>1.3</v>
      </c>
      <c r="R24" s="163">
        <f t="shared" si="6"/>
        <v>69968.9</v>
      </c>
    </row>
    <row r="25" spans="12:18" ht="15">
      <c r="L25" s="831" t="s">
        <v>362</v>
      </c>
      <c r="M25" s="163">
        <f>+'29.8.2013'!M20</f>
        <v>489.49</v>
      </c>
      <c r="N25" s="163">
        <f>+'29.8.2013'!N20</f>
        <v>116.20000000000002</v>
      </c>
      <c r="O25" s="163">
        <f>+'29.8.2013'!O20</f>
        <v>268.61</v>
      </c>
      <c r="P25" s="163">
        <f>+'29.8.2013'!P20</f>
        <v>103.38</v>
      </c>
      <c r="Q25" s="163">
        <f>+'29.8.2013'!Q20</f>
        <v>1.3</v>
      </c>
      <c r="R25" s="163">
        <f>+'29.8.2013'!R20</f>
        <v>67845.25</v>
      </c>
    </row>
    <row r="26" spans="12:18" ht="15">
      <c r="L26" s="831" t="s">
        <v>363</v>
      </c>
      <c r="M26" s="163">
        <f aca="true" t="shared" si="7" ref="M26:R26">+M20-M25</f>
        <v>30.508000000000038</v>
      </c>
      <c r="N26" s="163">
        <f t="shared" si="7"/>
        <v>11.300000000000011</v>
      </c>
      <c r="O26" s="163">
        <f t="shared" si="7"/>
        <v>15.129999999999995</v>
      </c>
      <c r="P26" s="163">
        <f t="shared" si="7"/>
        <v>4.078000000000017</v>
      </c>
      <c r="Q26" s="163">
        <f t="shared" si="7"/>
        <v>0</v>
      </c>
      <c r="R26" s="163">
        <f t="shared" si="7"/>
        <v>2123.649999999994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6.26</v>
      </c>
    </row>
    <row r="35" spans="2:10" ht="15">
      <c r="B35" s="26" t="s">
        <v>352</v>
      </c>
      <c r="G35" s="754">
        <f>SUM(H35:J35)</f>
        <v>28.23</v>
      </c>
      <c r="H35" s="26">
        <v>12.47</v>
      </c>
      <c r="I35" s="26">
        <v>5.92</v>
      </c>
      <c r="J35" s="26">
        <v>9.84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17.96</v>
      </c>
      <c r="H38" s="36">
        <f>+H34+H36</f>
        <v>5.569999999999999</v>
      </c>
      <c r="I38" s="36">
        <f>+I34+I36</f>
        <v>5.82</v>
      </c>
      <c r="J38" s="36">
        <f>+J34+J36</f>
        <v>6.569999999999999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G4:L4"/>
    <mergeCell ref="M4:R4"/>
    <mergeCell ref="S4:S6"/>
    <mergeCell ref="T4:T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2013-10-18T01:13:41Z</cp:lastPrinted>
  <dcterms:created xsi:type="dcterms:W3CDTF">2013-04-24T06:59:08Z</dcterms:created>
  <dcterms:modified xsi:type="dcterms:W3CDTF">2013-10-18T01:18:38Z</dcterms:modified>
  <cp:category/>
  <cp:version/>
  <cp:contentType/>
  <cp:contentStatus/>
</cp:coreProperties>
</file>